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440" windowHeight="10545" firstSheet="1" activeTab="1"/>
  </bookViews>
  <sheets>
    <sheet name="Data" sheetId="1" state="hidden" r:id="rId1"/>
    <sheet name="Convectors+Radiators" sheetId="2" r:id="rId2"/>
    <sheet name="Vertical" sheetId="3" r:id="rId3"/>
    <sheet name="Convec FloorLine" sheetId="4" r:id="rId4"/>
    <sheet name="ProLine" sheetId="5" r:id="rId5"/>
    <sheet name="L &amp; SkyLine" sheetId="6" r:id="rId6"/>
    <sheet name="Finned Tubes" sheetId="7" r:id="rId7"/>
    <sheet name="LANGUAGE" sheetId="8" r:id="rId8"/>
  </sheets>
  <definedNames>
    <definedName name="ConvecLengths">'Data'!$P$32:$P$44</definedName>
    <definedName name="Convectors">'Data'!$C$3:$U$4</definedName>
    <definedName name="Heights">'Data'!$A$5:$A$18</definedName>
    <definedName name="Language">'Data'!$A$288:$A$290</definedName>
    <definedName name="Lenghts">'Data'!$A$8:$A$18</definedName>
    <definedName name="OUTPUT1">'Data'!$A$4:$U$18</definedName>
    <definedName name="OUTPUT2">'Data'!$W$4:$AQ$18</definedName>
    <definedName name="OUTPUT3">'Data'!$A$32:$N$38</definedName>
    <definedName name="OUTPUT3a">'Data'!$A$39:$N$44</definedName>
    <definedName name="OUTPUT4">'Data'!$A$47:$G$64</definedName>
    <definedName name="OUTPUT5">'Data'!$A$69:$G$81</definedName>
    <definedName name="OUTPUT6">'Data'!$A$87:$G$99</definedName>
    <definedName name="OUTPUT7">'Data'!$A$106:$L$281</definedName>
    <definedName name="ProHeights">'Data'!$E$65:$E$68</definedName>
    <definedName name="ProHeights1">'Data'!$E$65:$F$68</definedName>
    <definedName name="TEMPSETCONVEC1">'Data'!$A$33:$A$38</definedName>
    <definedName name="TEMPSETFINNED1">'Data'!$N$106:$N$116</definedName>
    <definedName name="TEMPSETFINNED2">'Data'!$N$108:$N$118</definedName>
    <definedName name="TEMPSETFINNED3">'Data'!$N$119:$N$120</definedName>
  </definedNames>
  <calcPr fullCalcOnLoad="1"/>
</workbook>
</file>

<file path=xl/sharedStrings.xml><?xml version="1.0" encoding="utf-8"?>
<sst xmlns="http://schemas.openxmlformats.org/spreadsheetml/2006/main" count="483" uniqueCount="409">
  <si>
    <t>Height</t>
  </si>
  <si>
    <t>Fin</t>
  </si>
  <si>
    <t>1P0C</t>
  </si>
  <si>
    <t>1P1C</t>
  </si>
  <si>
    <t>1P2C</t>
  </si>
  <si>
    <t>2P2C</t>
  </si>
  <si>
    <t>2P3C</t>
  </si>
  <si>
    <t>2P4C</t>
  </si>
  <si>
    <t>3P4C</t>
  </si>
  <si>
    <t>3P5C</t>
  </si>
  <si>
    <t>3P6C</t>
  </si>
  <si>
    <t>OPTIONS</t>
  </si>
  <si>
    <t>MULIGHEDER</t>
  </si>
  <si>
    <t>WATT</t>
  </si>
  <si>
    <t>FLOW</t>
  </si>
  <si>
    <t>FREMLØB</t>
  </si>
  <si>
    <t>RETURN</t>
  </si>
  <si>
    <t>RETUR</t>
  </si>
  <si>
    <t>ROOM</t>
  </si>
  <si>
    <t>STUE</t>
  </si>
  <si>
    <t>LANGUAGE</t>
  </si>
  <si>
    <t>SPROG</t>
  </si>
  <si>
    <t>ENGLISH</t>
  </si>
  <si>
    <t>DANSK</t>
  </si>
  <si>
    <t>KONVEKTOR</t>
  </si>
  <si>
    <t>WATER CARRYING TUBE</t>
  </si>
  <si>
    <t>VANDFYLDT RØR</t>
  </si>
  <si>
    <t>WALL</t>
  </si>
  <si>
    <t>VÆG</t>
  </si>
  <si>
    <t>Max Length</t>
  </si>
  <si>
    <t>Min Length</t>
  </si>
  <si>
    <t>N=</t>
  </si>
  <si>
    <t>DEUTCH</t>
  </si>
  <si>
    <t>SPRACHE</t>
  </si>
  <si>
    <t>OPTIONEN</t>
  </si>
  <si>
    <t>VORLAUF</t>
  </si>
  <si>
    <t>RÜCKLAUF</t>
  </si>
  <si>
    <t>ZIMMER</t>
  </si>
  <si>
    <t>TS</t>
  </si>
  <si>
    <t>2P1C</t>
  </si>
  <si>
    <t>3P2C</t>
  </si>
  <si>
    <t>CL/TL/TX</t>
  </si>
  <si>
    <t>CL/CX/TL/TX</t>
  </si>
  <si>
    <t>CL/CX</t>
  </si>
  <si>
    <t>Options</t>
  </si>
  <si>
    <t>FLAD FRONT</t>
  </si>
  <si>
    <t>FLAT FRONT</t>
  </si>
  <si>
    <t>TF</t>
  </si>
  <si>
    <t>16 l/h</t>
  </si>
  <si>
    <t>26 l/h</t>
  </si>
  <si>
    <t>36 l/h</t>
  </si>
  <si>
    <t>46 l/h</t>
  </si>
  <si>
    <t>57 l/h</t>
  </si>
  <si>
    <t>67 l/h</t>
  </si>
  <si>
    <t>77 l/h</t>
  </si>
  <si>
    <t>88 l/h</t>
  </si>
  <si>
    <t>98 l/h</t>
  </si>
  <si>
    <t>109 l/h</t>
  </si>
  <si>
    <t>119 l/h</t>
  </si>
  <si>
    <t>130 l/h</t>
  </si>
  <si>
    <t>140 l/h</t>
  </si>
  <si>
    <t>Length</t>
  </si>
  <si>
    <t>Radiators + Convectors</t>
  </si>
  <si>
    <t>W/M @ 75/65/20</t>
  </si>
  <si>
    <t>70/40/20</t>
  </si>
  <si>
    <t>50/45/20</t>
  </si>
  <si>
    <t>70/50/20</t>
  </si>
  <si>
    <t>4 l/h</t>
  </si>
  <si>
    <t>6 l/h</t>
  </si>
  <si>
    <t>9 l/h</t>
  </si>
  <si>
    <t>11 l/h</t>
  </si>
  <si>
    <t>13 l/h</t>
  </si>
  <si>
    <t>18 l/h</t>
  </si>
  <si>
    <t>21 l/h</t>
  </si>
  <si>
    <t>23 l/h</t>
  </si>
  <si>
    <t>25 l/h</t>
  </si>
  <si>
    <t>28 l/h</t>
  </si>
  <si>
    <t>30 l/h</t>
  </si>
  <si>
    <t>2 l/h</t>
  </si>
  <si>
    <t>29 l/h</t>
  </si>
  <si>
    <t>40 l/h</t>
  </si>
  <si>
    <t>51 l/h</t>
  </si>
  <si>
    <t>62 l/h</t>
  </si>
  <si>
    <t>73 l/h</t>
  </si>
  <si>
    <t>84 l/h</t>
  </si>
  <si>
    <t>96 l/h</t>
  </si>
  <si>
    <t>107 l/h</t>
  </si>
  <si>
    <t>118 l/h</t>
  </si>
  <si>
    <t>141 l/h</t>
  </si>
  <si>
    <t>152 l/h</t>
  </si>
  <si>
    <t>10 l/h</t>
  </si>
  <si>
    <t>17 l/h</t>
  </si>
  <si>
    <t>24 l/h</t>
  </si>
  <si>
    <t>31 l/h</t>
  </si>
  <si>
    <t>39 l/h</t>
  </si>
  <si>
    <t>53 l/h</t>
  </si>
  <si>
    <t>60 l/h</t>
  </si>
  <si>
    <t>75 l/h</t>
  </si>
  <si>
    <t>82 l/h</t>
  </si>
  <si>
    <t>89 l/h</t>
  </si>
  <si>
    <t>97 l/h</t>
  </si>
  <si>
    <t>5 l/h</t>
  </si>
  <si>
    <t>33 l/h</t>
  </si>
  <si>
    <t>38 l/h</t>
  </si>
  <si>
    <t>42 l/h</t>
  </si>
  <si>
    <t>50 l/h</t>
  </si>
  <si>
    <t>55 l/h</t>
  </si>
  <si>
    <t>7 l/h</t>
  </si>
  <si>
    <t>14 l/h</t>
  </si>
  <si>
    <t>22 l/h</t>
  </si>
  <si>
    <t>44 l/h</t>
  </si>
  <si>
    <t>47 l/h</t>
  </si>
  <si>
    <t>75/65/20</t>
  </si>
  <si>
    <t>60/50/20</t>
  </si>
  <si>
    <t>65/45/20</t>
  </si>
  <si>
    <t>TEMPERATURE SET ºC</t>
  </si>
  <si>
    <t>TEMPERATURSÆT ºC</t>
  </si>
  <si>
    <t>Convec</t>
  </si>
  <si>
    <t>PL07</t>
  </si>
  <si>
    <t>03 5/0</t>
  </si>
  <si>
    <t>04 5/0</t>
  </si>
  <si>
    <t>05 5/0</t>
  </si>
  <si>
    <t>06 6/0</t>
  </si>
  <si>
    <t>07 7/0</t>
  </si>
  <si>
    <t>08 5/3</t>
  </si>
  <si>
    <t>09 5/4</t>
  </si>
  <si>
    <t>10 5/5</t>
  </si>
  <si>
    <t>11 6/5</t>
  </si>
  <si>
    <t>12 6/6</t>
  </si>
  <si>
    <t>13 7/6</t>
  </si>
  <si>
    <t>14 7/7</t>
  </si>
  <si>
    <t>K=</t>
  </si>
  <si>
    <t>SIDERIST</t>
  </si>
  <si>
    <t>SIDE GRILL</t>
  </si>
  <si>
    <t>TEMPERATURSATZ ºC</t>
  </si>
  <si>
    <t>BEMÆRK VENLIGST LÆNGDE ER PER ENHED. FLERE ENHEDER KAN MONTERES I SERIE</t>
  </si>
  <si>
    <t>PLEASE NOTE LENGHT IS PER UNIT. SEVERAL UNITS CAN BE MOUNTED IN SERIES.</t>
  </si>
  <si>
    <t>1P0C1F</t>
  </si>
  <si>
    <t>1P1C1F</t>
  </si>
  <si>
    <t>2P3C1F</t>
  </si>
  <si>
    <t>1P2C1F</t>
  </si>
  <si>
    <t>- ved 70/40/20 yder den 55 w/m pr rør</t>
  </si>
  <si>
    <t>- ved 70/40/20 yder den 60 w/m pr. rør</t>
  </si>
  <si>
    <t>width</t>
  </si>
  <si>
    <t>K33·73·08</t>
  </si>
  <si>
    <t>K33·83·10</t>
  </si>
  <si>
    <t>K42·92·10</t>
  </si>
  <si>
    <t>K48·98·10</t>
  </si>
  <si>
    <t>K60·110·10</t>
  </si>
  <si>
    <t>K60·123·12</t>
  </si>
  <si>
    <t>K76·139·12</t>
  </si>
  <si>
    <t>K101·164·12</t>
  </si>
  <si>
    <t>For stor W</t>
  </si>
  <si>
    <t>Too large W</t>
  </si>
  <si>
    <t>30°C</t>
  </si>
  <si>
    <t>35°C</t>
  </si>
  <si>
    <t>40°C</t>
  </si>
  <si>
    <t>45°C</t>
  </si>
  <si>
    <t>50°C</t>
  </si>
  <si>
    <t>55°C</t>
  </si>
  <si>
    <t>60°C</t>
  </si>
  <si>
    <t>65°C</t>
  </si>
  <si>
    <t>70°C</t>
  </si>
  <si>
    <t>75°C</t>
  </si>
  <si>
    <t>80°C</t>
  </si>
  <si>
    <t>Finned Tube</t>
  </si>
  <si>
    <t>Finned tube temps</t>
  </si>
  <si>
    <t>9020K33·73·08</t>
  </si>
  <si>
    <t>9020K33·83·10</t>
  </si>
  <si>
    <t>9020K42·92·10</t>
  </si>
  <si>
    <t>9020K48·98·10</t>
  </si>
  <si>
    <t>9020K60·110·10</t>
  </si>
  <si>
    <t>9020K60·123·12</t>
  </si>
  <si>
    <t>9020K76·139·12</t>
  </si>
  <si>
    <t>9020K101·164·12</t>
  </si>
  <si>
    <t>8520K33·73·08</t>
  </si>
  <si>
    <t>8520K33·83·10</t>
  </si>
  <si>
    <t>8520K42·92·10</t>
  </si>
  <si>
    <t>8520K48·98·10</t>
  </si>
  <si>
    <t>8520K60·110·10</t>
  </si>
  <si>
    <t>8520K60·123·12</t>
  </si>
  <si>
    <t>8520K76·139·12</t>
  </si>
  <si>
    <t>8520K101·164·12</t>
  </si>
  <si>
    <t>8020K33·73·08</t>
  </si>
  <si>
    <t>8020K33·83·10</t>
  </si>
  <si>
    <t>8020K42·92·10</t>
  </si>
  <si>
    <t>8020K48·98·10</t>
  </si>
  <si>
    <t>8020K60·110·10</t>
  </si>
  <si>
    <t>8020K60·123·12</t>
  </si>
  <si>
    <t>8020K76·139·12</t>
  </si>
  <si>
    <t>8020K101·164·12</t>
  </si>
  <si>
    <t>7520K33·73·08</t>
  </si>
  <si>
    <t>7520K33·83·10</t>
  </si>
  <si>
    <t>7520K42·92·10</t>
  </si>
  <si>
    <t>7520K48·98·10</t>
  </si>
  <si>
    <t>7520K60·110·10</t>
  </si>
  <si>
    <t>7520K60·123·12</t>
  </si>
  <si>
    <t>7520K76·139·12</t>
  </si>
  <si>
    <t>7520K101·164·12</t>
  </si>
  <si>
    <t>7020K33·73·08</t>
  </si>
  <si>
    <t>7020K33·83·10</t>
  </si>
  <si>
    <t>7020K42·92·10</t>
  </si>
  <si>
    <t>7020K48·98·10</t>
  </si>
  <si>
    <t>7020K60·110·10</t>
  </si>
  <si>
    <t>7020K60·123·12</t>
  </si>
  <si>
    <t>7020K76·139·12</t>
  </si>
  <si>
    <t>7020K101·164·12</t>
  </si>
  <si>
    <t>6520K33·73·08</t>
  </si>
  <si>
    <t>6520K33·83·10</t>
  </si>
  <si>
    <t>6520K42·92·10</t>
  </si>
  <si>
    <t>6520K48·98·10</t>
  </si>
  <si>
    <t>6520K60·110·10</t>
  </si>
  <si>
    <t>6520K60·123·12</t>
  </si>
  <si>
    <t>6520K76·139·12</t>
  </si>
  <si>
    <t>6520K101·164·12</t>
  </si>
  <si>
    <t>6020K33·73·08</t>
  </si>
  <si>
    <t>6020K33·83·10</t>
  </si>
  <si>
    <t>6020K42·92·10</t>
  </si>
  <si>
    <t>6020K48·98·10</t>
  </si>
  <si>
    <t>6020K60·110·10</t>
  </si>
  <si>
    <t>6020K60·123·12</t>
  </si>
  <si>
    <t>6020K76·139·12</t>
  </si>
  <si>
    <t>6020K101·164·12</t>
  </si>
  <si>
    <t>5520K33·73·08</t>
  </si>
  <si>
    <t>5520K33·83·10</t>
  </si>
  <si>
    <t>5520K42·92·10</t>
  </si>
  <si>
    <t>5520K48·98·10</t>
  </si>
  <si>
    <t>5520K60·110·10</t>
  </si>
  <si>
    <t>5520K60·123·12</t>
  </si>
  <si>
    <t>5520K76·139·12</t>
  </si>
  <si>
    <t>5520K101·164·12</t>
  </si>
  <si>
    <t>5020K33·73·08</t>
  </si>
  <si>
    <t>5020K33·83·10</t>
  </si>
  <si>
    <t>5020K42·92·10</t>
  </si>
  <si>
    <t>5020K48·98·10</t>
  </si>
  <si>
    <t>5020K60·110·10</t>
  </si>
  <si>
    <t>5020K60·123·12</t>
  </si>
  <si>
    <t>5020K76·139·12</t>
  </si>
  <si>
    <t>5020K101·164·12</t>
  </si>
  <si>
    <t>4520K33·73·08</t>
  </si>
  <si>
    <t>4520K33·83·10</t>
  </si>
  <si>
    <t>4520K42·92·10</t>
  </si>
  <si>
    <t>4520K48·98·10</t>
  </si>
  <si>
    <t>4520K60·110·10</t>
  </si>
  <si>
    <t>4520K60·123·12</t>
  </si>
  <si>
    <t>4520K76·139·12</t>
  </si>
  <si>
    <t>4520K101·164·12</t>
  </si>
  <si>
    <t>4020K33·73·08</t>
  </si>
  <si>
    <t>4020K33·83·10</t>
  </si>
  <si>
    <t>4020K42·92·10</t>
  </si>
  <si>
    <t>4020K48·98·10</t>
  </si>
  <si>
    <t>4020K60·110·10</t>
  </si>
  <si>
    <t>4020K60·123·12</t>
  </si>
  <si>
    <t>4020K76·139·12</t>
  </si>
  <si>
    <t>4020K101·164·12</t>
  </si>
  <si>
    <t>9025K33·73·08</t>
  </si>
  <si>
    <t>9025K33·83·10</t>
  </si>
  <si>
    <t>9025K42·92·10</t>
  </si>
  <si>
    <t>9025K48·98·10</t>
  </si>
  <si>
    <t>9025K60·110·10</t>
  </si>
  <si>
    <t>9025K60·123·12</t>
  </si>
  <si>
    <t>9025K76·139·12</t>
  </si>
  <si>
    <t>9025K101·164·12</t>
  </si>
  <si>
    <t>8525K33·73·08</t>
  </si>
  <si>
    <t>8525K33·83·10</t>
  </si>
  <si>
    <t>8525K42·92·10</t>
  </si>
  <si>
    <t>8525K48·98·10</t>
  </si>
  <si>
    <t>8525K60·110·10</t>
  </si>
  <si>
    <t>8525K60·123·12</t>
  </si>
  <si>
    <t>8525K76·139·12</t>
  </si>
  <si>
    <t>8525K101·164·12</t>
  </si>
  <si>
    <t>8025K33·73·08</t>
  </si>
  <si>
    <t>8025K33·83·10</t>
  </si>
  <si>
    <t>8025K42·92·10</t>
  </si>
  <si>
    <t>8025K48·98·10</t>
  </si>
  <si>
    <t>8025K60·110·10</t>
  </si>
  <si>
    <t>8025K60·123·12</t>
  </si>
  <si>
    <t>8025K76·139·12</t>
  </si>
  <si>
    <t>8025K101·164·12</t>
  </si>
  <si>
    <t>7525K33·73·08</t>
  </si>
  <si>
    <t>7525K33·83·10</t>
  </si>
  <si>
    <t>7525K42·92·10</t>
  </si>
  <si>
    <t>7525K48·98·10</t>
  </si>
  <si>
    <t>7525K60·110·10</t>
  </si>
  <si>
    <t>7525K60·123·12</t>
  </si>
  <si>
    <t>7525K76·139·12</t>
  </si>
  <si>
    <t>7525K101·164·12</t>
  </si>
  <si>
    <t>7025K33·73·08</t>
  </si>
  <si>
    <t>7025K33·83·10</t>
  </si>
  <si>
    <t>7025K42·92·10</t>
  </si>
  <si>
    <t>7025K48·98·10</t>
  </si>
  <si>
    <t>7025K60·110·10</t>
  </si>
  <si>
    <t>7025K60·123·12</t>
  </si>
  <si>
    <t>7025K76·139·12</t>
  </si>
  <si>
    <t>7025K101·164·12</t>
  </si>
  <si>
    <t>6525K33·73·08</t>
  </si>
  <si>
    <t>6525K33·83·10</t>
  </si>
  <si>
    <t>6525K42·92·10</t>
  </si>
  <si>
    <t>6525K48·98·10</t>
  </si>
  <si>
    <t>6525K60·110·10</t>
  </si>
  <si>
    <t>6525K60·123·12</t>
  </si>
  <si>
    <t>6525K76·139·12</t>
  </si>
  <si>
    <t>6525K101·164·12</t>
  </si>
  <si>
    <t>6025K33·73·08</t>
  </si>
  <si>
    <t>6025K33·83·10</t>
  </si>
  <si>
    <t>6025K42·92·10</t>
  </si>
  <si>
    <t>6025K48·98·10</t>
  </si>
  <si>
    <t>6025K60·110·10</t>
  </si>
  <si>
    <t>6025K60·123·12</t>
  </si>
  <si>
    <t>6025K76·139·12</t>
  </si>
  <si>
    <t>6025K101·164·12</t>
  </si>
  <si>
    <t>5525K33·73·08</t>
  </si>
  <si>
    <t>5525K33·83·10</t>
  </si>
  <si>
    <t>5525K42·92·10</t>
  </si>
  <si>
    <t>5525K48·98·10</t>
  </si>
  <si>
    <t>5525K60·110·10</t>
  </si>
  <si>
    <t>5525K60·123·12</t>
  </si>
  <si>
    <t>5525K76·139·12</t>
  </si>
  <si>
    <t>5525K101·164·12</t>
  </si>
  <si>
    <t>5025K33·73·08</t>
  </si>
  <si>
    <t>5025K33·83·10</t>
  </si>
  <si>
    <t>5025K42·92·10</t>
  </si>
  <si>
    <t>5025K48·98·10</t>
  </si>
  <si>
    <t>5025K60·110·10</t>
  </si>
  <si>
    <t>5025K60·123·12</t>
  </si>
  <si>
    <t>5025K76·139·12</t>
  </si>
  <si>
    <t>5025K101·164·12</t>
  </si>
  <si>
    <t>4525K33·73·08</t>
  </si>
  <si>
    <t>4525K33·83·10</t>
  </si>
  <si>
    <t>4525K42·92·10</t>
  </si>
  <si>
    <t>4525K48·98·10</t>
  </si>
  <si>
    <t>4525K60·110·10</t>
  </si>
  <si>
    <t>4525K60·123·12</t>
  </si>
  <si>
    <t>4525K76·139·12</t>
  </si>
  <si>
    <t>4525K101·164·12</t>
  </si>
  <si>
    <t>4025K33·73·08</t>
  </si>
  <si>
    <t>4025K33·83·10</t>
  </si>
  <si>
    <t>4025K42·92·10</t>
  </si>
  <si>
    <t>4025K48·98·10</t>
  </si>
  <si>
    <t>4025K60·110·10</t>
  </si>
  <si>
    <t>4025K60·123·12</t>
  </si>
  <si>
    <t>4025K76·139·12</t>
  </si>
  <si>
    <t>4025K101·164·12</t>
  </si>
  <si>
    <t>CONVECTOR</t>
  </si>
  <si>
    <t>RIBBERØR</t>
  </si>
  <si>
    <t>FINNED TUBE</t>
  </si>
  <si>
    <t>RIPPENROHR</t>
  </si>
  <si>
    <t>PLINT</t>
  </si>
  <si>
    <t>PLINTH</t>
  </si>
  <si>
    <t>L-LINE</t>
  </si>
  <si>
    <t>PROLINE</t>
  </si>
  <si>
    <t>SKYLINE</t>
  </si>
  <si>
    <t>&amp; PLINT</t>
  </si>
  <si>
    <t>PLEASE NOTE OUTPUT IS ESTIMATED</t>
  </si>
  <si>
    <t>BEMÆRK VENLIGST YDELSE ER ESTIMERET</t>
  </si>
  <si>
    <t>Min Height</t>
  </si>
  <si>
    <t>Max Height</t>
  </si>
  <si>
    <t>start</t>
  </si>
  <si>
    <t>per  10 mm</t>
  </si>
  <si>
    <t>Vertical</t>
  </si>
  <si>
    <t>-max TF</t>
  </si>
  <si>
    <t>LEISTUNG, WATT</t>
  </si>
  <si>
    <t>OUTPUT, WATT</t>
  </si>
  <si>
    <t>YDELSE, WATT</t>
  </si>
  <si>
    <t>LENGTH, MM</t>
  </si>
  <si>
    <t>LÆNGDE, MM</t>
  </si>
  <si>
    <t>HØJDE, MM</t>
  </si>
  <si>
    <t>OR</t>
  </si>
  <si>
    <t>ELLER</t>
  </si>
  <si>
    <t>ODER</t>
  </si>
  <si>
    <t>HEIGHT, MM</t>
  </si>
  <si>
    <t>MIN.</t>
  </si>
  <si>
    <t>MAX.</t>
  </si>
  <si>
    <t>MAKS.</t>
  </si>
  <si>
    <t>PLEASE CONTACT MEINERTZ FOR SPECIAL SIZES OR OPTIONS.</t>
  </si>
  <si>
    <t>KONTAKT VENLIGST MEINERTZ FOR SPECIALSTØRRELSER ELLER -MULIGHEDER.</t>
  </si>
  <si>
    <t>BITTE KONTAKTIEREN SIE MEINERTZ FÜR SONDERGRÖSSEN ODER SONDERAUSFÜHRUNGEN.</t>
  </si>
  <si>
    <t>CHOOSE</t>
  </si>
  <si>
    <t>VÆLG</t>
  </si>
  <si>
    <t>WÄHLEN SIE</t>
  </si>
  <si>
    <t>BAUHÖHE MM</t>
  </si>
  <si>
    <t>BAULÄNGE MM</t>
  </si>
  <si>
    <t>WASSERFÜHRENDEN ROHR</t>
  </si>
  <si>
    <t>PLANE FRONT</t>
  </si>
  <si>
    <t>WAND</t>
  </si>
  <si>
    <t>SEITENROST</t>
  </si>
  <si>
    <t>BITTE BEACHTEN SIE LÄNGE PRO EINHEIT. MEHRERE EINHEITEN KÖNNEN IN SERIE MONTIERT WERDEN</t>
  </si>
  <si>
    <t>Zu hohe W</t>
  </si>
  <si>
    <t>BITTE BEACHTEN SIE, DASS DIE LEISTUNG KALKULIERT WORDEN IST</t>
  </si>
  <si>
    <t>Heights</t>
  </si>
  <si>
    <t>03 5/5</t>
  </si>
  <si>
    <t>04 5/5</t>
  </si>
  <si>
    <t>05 5/5</t>
  </si>
  <si>
    <t>06 6/5</t>
  </si>
  <si>
    <t>07 7/7</t>
  </si>
  <si>
    <t>CL/TL</t>
  </si>
  <si>
    <t>CX/TX</t>
  </si>
  <si>
    <t>CL</t>
  </si>
  <si>
    <t>/1.05</t>
  </si>
  <si>
    <t>/1.07</t>
  </si>
  <si>
    <t>/1.04</t>
  </si>
  <si>
    <t>TX</t>
  </si>
  <si>
    <t>/1.03</t>
  </si>
  <si>
    <t>GRILLE</t>
  </si>
  <si>
    <t>RIST</t>
  </si>
  <si>
    <t>ROSTE</t>
  </si>
  <si>
    <t>panel faktor</t>
  </si>
  <si>
    <r>
      <t>W/element</t>
    </r>
    <r>
      <rPr>
        <sz val="11"/>
        <color indexed="9"/>
        <rFont val="Arial"/>
        <family val="2"/>
      </rPr>
      <t xml:space="preserve"> (75/65/20 °C)</t>
    </r>
  </si>
  <si>
    <t xml:space="preserve">V-051011NP-beta 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</si>
</sst>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?\º\C"/>
    <numFmt numFmtId="181" formatCode="?\ \W"/>
    <numFmt numFmtId="182" formatCode="0.0"/>
    <numFmt numFmtId="183" formatCode="0.000"/>
    <numFmt numFmtId="184" formatCode="0.0%"/>
  </numFmts>
  <fonts count="49"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u val="single"/>
      <sz val="7.7"/>
      <color indexed="20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.5"/>
      <color indexed="9"/>
      <name val="Arial"/>
      <family val="2"/>
    </font>
    <font>
      <sz val="20"/>
      <color indexed="8"/>
      <name val="Arial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.7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>
        <color indexed="18"/>
      </right>
      <top/>
      <bottom/>
    </border>
    <border>
      <left style="thick">
        <color indexed="60"/>
      </left>
      <right/>
      <top/>
      <bottom/>
    </border>
    <border>
      <left style="thick">
        <color indexed="60"/>
      </left>
      <right style="hair"/>
      <top/>
      <bottom/>
    </border>
    <border>
      <left/>
      <right style="hair"/>
      <top/>
      <bottom/>
    </border>
    <border>
      <left/>
      <right style="thick">
        <color indexed="60"/>
      </right>
      <top/>
      <bottom/>
    </border>
    <border>
      <left style="thick">
        <color indexed="60"/>
      </left>
      <right style="thick">
        <color indexed="18"/>
      </right>
      <top/>
      <bottom/>
    </border>
    <border>
      <left style="thick">
        <color indexed="23"/>
      </left>
      <right/>
      <top/>
      <bottom/>
    </border>
    <border>
      <left style="thick">
        <color indexed="23"/>
      </left>
      <right style="thick">
        <color indexed="60"/>
      </right>
      <top/>
      <bottom/>
    </border>
    <border>
      <left style="thick">
        <color indexed="23"/>
      </left>
      <right style="hair"/>
      <top/>
      <bottom/>
    </border>
    <border>
      <left style="medium"/>
      <right style="medium"/>
      <top style="medium"/>
      <bottom style="medium"/>
    </border>
    <border>
      <left style="thick">
        <color indexed="18"/>
      </left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thick">
        <color indexed="23"/>
      </right>
      <top/>
      <bottom/>
    </border>
    <border>
      <left style="thick">
        <color indexed="23"/>
      </left>
      <right style="thick">
        <color indexed="23"/>
      </right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2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6" fillId="33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vertical="top"/>
      <protection hidden="1"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8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35" borderId="18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7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180" fontId="1" fillId="36" borderId="25" xfId="0" applyNumberFormat="1" applyFont="1" applyFill="1" applyBorder="1" applyAlignment="1" applyProtection="1">
      <alignment horizontal="center"/>
      <protection locked="0"/>
    </xf>
    <xf numFmtId="0" fontId="6" fillId="36" borderId="10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right" vertical="center"/>
    </xf>
    <xf numFmtId="0" fontId="6" fillId="36" borderId="14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80" fontId="1" fillId="38" borderId="25" xfId="0" applyNumberFormat="1" applyFont="1" applyFill="1" applyBorder="1" applyAlignment="1" applyProtection="1">
      <alignment horizontal="center"/>
      <protection locked="0"/>
    </xf>
    <xf numFmtId="180" fontId="1" fillId="38" borderId="31" xfId="0" applyNumberFormat="1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>
      <alignment horizontal="right"/>
    </xf>
    <xf numFmtId="0" fontId="6" fillId="36" borderId="28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right"/>
    </xf>
    <xf numFmtId="0" fontId="3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/>
    </xf>
    <xf numFmtId="0" fontId="6" fillId="36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6" fillId="36" borderId="11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6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6" fillId="37" borderId="32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/>
    </xf>
    <xf numFmtId="0" fontId="6" fillId="37" borderId="27" xfId="0" applyFont="1" applyFill="1" applyBorder="1" applyAlignment="1">
      <alignment/>
    </xf>
    <xf numFmtId="0" fontId="6" fillId="37" borderId="28" xfId="0" applyFont="1" applyFill="1" applyBorder="1" applyAlignment="1">
      <alignment horizontal="center" wrapText="1"/>
    </xf>
    <xf numFmtId="0" fontId="2" fillId="37" borderId="28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0" xfId="0" applyFont="1" applyFill="1" applyBorder="1" applyAlignment="1" applyProtection="1">
      <alignment horizontal="center"/>
      <protection/>
    </xf>
    <xf numFmtId="0" fontId="6" fillId="37" borderId="11" xfId="0" applyFont="1" applyFill="1" applyBorder="1" applyAlignment="1" applyProtection="1">
      <alignment horizontal="center"/>
      <protection/>
    </xf>
    <xf numFmtId="0" fontId="6" fillId="37" borderId="12" xfId="0" applyFont="1" applyFill="1" applyBorder="1" applyAlignment="1" applyProtection="1">
      <alignment horizontal="center"/>
      <protection/>
    </xf>
    <xf numFmtId="0" fontId="6" fillId="37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84" fontId="4" fillId="0" borderId="0" xfId="51" applyNumberFormat="1" applyFont="1" applyAlignment="1">
      <alignment/>
    </xf>
    <xf numFmtId="182" fontId="4" fillId="0" borderId="0" xfId="0" applyNumberFormat="1" applyFont="1" applyAlignment="1">
      <alignment/>
    </xf>
    <xf numFmtId="0" fontId="3" fillId="36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6" fillId="37" borderId="13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36" borderId="34" xfId="0" applyFont="1" applyFill="1" applyBorder="1" applyAlignment="1" applyProtection="1">
      <alignment horizontal="center" vertical="center"/>
      <protection locked="0"/>
    </xf>
    <xf numFmtId="0" fontId="6" fillId="36" borderId="35" xfId="0" applyFont="1" applyFill="1" applyBorder="1" applyAlignment="1" applyProtection="1">
      <alignment horizontal="center" vertical="center"/>
      <protection locked="0"/>
    </xf>
    <xf numFmtId="0" fontId="6" fillId="36" borderId="36" xfId="0" applyFont="1" applyFill="1" applyBorder="1" applyAlignment="1" applyProtection="1">
      <alignment horizontal="center" vertical="center"/>
      <protection locked="0"/>
    </xf>
    <xf numFmtId="0" fontId="12" fillId="36" borderId="33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/>
    </xf>
    <xf numFmtId="0" fontId="12" fillId="36" borderId="32" xfId="0" applyFont="1" applyFill="1" applyBorder="1" applyAlignment="1">
      <alignment horizontal="center" vertical="center"/>
    </xf>
    <xf numFmtId="0" fontId="6" fillId="37" borderId="34" xfId="0" applyFont="1" applyFill="1" applyBorder="1" applyAlignment="1" applyProtection="1">
      <alignment horizontal="center" vertical="center"/>
      <protection locked="0"/>
    </xf>
    <xf numFmtId="0" fontId="6" fillId="37" borderId="35" xfId="0" applyFont="1" applyFill="1" applyBorder="1" applyAlignment="1" applyProtection="1">
      <alignment horizontal="center" vertical="center"/>
      <protection locked="0"/>
    </xf>
    <xf numFmtId="0" fontId="6" fillId="37" borderId="3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left" vertical="center" wrapText="1"/>
    </xf>
    <xf numFmtId="181" fontId="6" fillId="36" borderId="34" xfId="0" applyNumberFormat="1" applyFont="1" applyFill="1" applyBorder="1" applyAlignment="1" applyProtection="1">
      <alignment horizontal="center" vertical="center"/>
      <protection locked="0"/>
    </xf>
    <xf numFmtId="181" fontId="6" fillId="36" borderId="35" xfId="0" applyNumberFormat="1" applyFont="1" applyFill="1" applyBorder="1" applyAlignment="1" applyProtection="1">
      <alignment horizontal="center" vertical="center"/>
      <protection locked="0"/>
    </xf>
    <xf numFmtId="181" fontId="6" fillId="36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0"/>
  <sheetViews>
    <sheetView zoomScale="60" zoomScaleNormal="60" zoomScalePageLayoutView="0" workbookViewId="0" topLeftCell="A1">
      <selection activeCell="B1" sqref="B1"/>
    </sheetView>
  </sheetViews>
  <sheetFormatPr defaultColWidth="9.140625" defaultRowHeight="15"/>
  <cols>
    <col min="1" max="1" width="15.7109375" style="155" customWidth="1"/>
    <col min="2" max="2" width="9.140625" style="155" customWidth="1"/>
    <col min="3" max="3" width="9.57421875" style="155" bestFit="1" customWidth="1"/>
    <col min="4" max="6" width="9.140625" style="155" customWidth="1"/>
    <col min="7" max="12" width="9.57421875" style="155" bestFit="1" customWidth="1"/>
    <col min="13" max="13" width="9.421875" style="155" customWidth="1"/>
    <col min="14" max="14" width="9.57421875" style="155" bestFit="1" customWidth="1"/>
    <col min="15" max="15" width="9.140625" style="155" customWidth="1"/>
    <col min="16" max="16" width="12.57421875" style="155" bestFit="1" customWidth="1"/>
    <col min="17" max="17" width="9.140625" style="155" customWidth="1"/>
    <col min="18" max="18" width="9.57421875" style="155" bestFit="1" customWidth="1"/>
    <col min="19" max="23" width="9.140625" style="155" customWidth="1"/>
    <col min="24" max="24" width="9.28125" style="155" bestFit="1" customWidth="1"/>
    <col min="25" max="25" width="9.140625" style="155" customWidth="1"/>
    <col min="26" max="27" width="10.00390625" style="155" customWidth="1"/>
    <col min="28" max="16384" width="9.140625" style="155" customWidth="1"/>
  </cols>
  <sheetData>
    <row r="1" spans="1:19" ht="14.25">
      <c r="A1" s="155" t="s">
        <v>62</v>
      </c>
      <c r="B1" s="155" t="s">
        <v>408</v>
      </c>
      <c r="D1" s="155" t="s">
        <v>402</v>
      </c>
      <c r="G1" s="155" t="s">
        <v>400</v>
      </c>
      <c r="M1" s="155" t="s">
        <v>398</v>
      </c>
      <c r="S1" s="155" t="s">
        <v>399</v>
      </c>
    </row>
    <row r="2" spans="1:43" ht="14.25">
      <c r="A2" s="155" t="s">
        <v>63</v>
      </c>
      <c r="C2" s="155" t="s">
        <v>2</v>
      </c>
      <c r="D2" s="155" t="s">
        <v>2</v>
      </c>
      <c r="E2" s="155" t="s">
        <v>137</v>
      </c>
      <c r="F2" s="155" t="s">
        <v>3</v>
      </c>
      <c r="G2" s="155" t="s">
        <v>3</v>
      </c>
      <c r="H2" s="155" t="s">
        <v>138</v>
      </c>
      <c r="I2" s="155" t="s">
        <v>4</v>
      </c>
      <c r="J2" s="155" t="s">
        <v>140</v>
      </c>
      <c r="K2" s="155" t="s">
        <v>39</v>
      </c>
      <c r="L2" s="155" t="s">
        <v>5</v>
      </c>
      <c r="M2" s="155" t="s">
        <v>5</v>
      </c>
      <c r="N2" s="155" t="s">
        <v>6</v>
      </c>
      <c r="O2" s="155" t="s">
        <v>139</v>
      </c>
      <c r="P2" s="155" t="s">
        <v>7</v>
      </c>
      <c r="Q2" s="155" t="s">
        <v>40</v>
      </c>
      <c r="R2" s="155" t="s">
        <v>8</v>
      </c>
      <c r="S2" s="155" t="s">
        <v>8</v>
      </c>
      <c r="T2" s="155" t="s">
        <v>9</v>
      </c>
      <c r="U2" s="155" t="s">
        <v>10</v>
      </c>
      <c r="W2" s="155" t="str">
        <f>"W/M @ "&amp;'Convectors+Radiators'!B4&amp;"/"&amp;'Convectors+Radiators'!B6&amp;"/"&amp;'Convectors+Radiators'!B8</f>
        <v>W/M @ 75/65/20</v>
      </c>
      <c r="Y2" s="155" t="str">
        <f aca="true" t="shared" si="0" ref="Y2:AH4">C2</f>
        <v>1P0C</v>
      </c>
      <c r="Z2" s="155" t="str">
        <f t="shared" si="0"/>
        <v>1P0C</v>
      </c>
      <c r="AA2" s="155" t="str">
        <f t="shared" si="0"/>
        <v>1P0C1F</v>
      </c>
      <c r="AB2" s="155" t="str">
        <f t="shared" si="0"/>
        <v>1P1C</v>
      </c>
      <c r="AC2" s="155" t="str">
        <f t="shared" si="0"/>
        <v>1P1C</v>
      </c>
      <c r="AD2" s="155" t="str">
        <f t="shared" si="0"/>
        <v>1P1C1F</v>
      </c>
      <c r="AE2" s="155" t="str">
        <f t="shared" si="0"/>
        <v>1P2C</v>
      </c>
      <c r="AF2" s="155" t="str">
        <f t="shared" si="0"/>
        <v>1P2C1F</v>
      </c>
      <c r="AG2" s="155" t="str">
        <f t="shared" si="0"/>
        <v>2P1C</v>
      </c>
      <c r="AH2" s="155" t="str">
        <f t="shared" si="0"/>
        <v>2P2C</v>
      </c>
      <c r="AI2" s="155" t="str">
        <f aca="true" t="shared" si="1" ref="AI2:AQ4">M2</f>
        <v>2P2C</v>
      </c>
      <c r="AJ2" s="155" t="str">
        <f t="shared" si="1"/>
        <v>2P3C</v>
      </c>
      <c r="AK2" s="155" t="str">
        <f t="shared" si="1"/>
        <v>2P3C1F</v>
      </c>
      <c r="AL2" s="155" t="str">
        <f t="shared" si="1"/>
        <v>2P4C</v>
      </c>
      <c r="AM2" s="155" t="str">
        <f t="shared" si="1"/>
        <v>3P2C</v>
      </c>
      <c r="AN2" s="155" t="str">
        <f t="shared" si="1"/>
        <v>3P4C</v>
      </c>
      <c r="AO2" s="155" t="str">
        <f t="shared" si="1"/>
        <v>3P4C</v>
      </c>
      <c r="AP2" s="155" t="str">
        <f t="shared" si="1"/>
        <v>3P5C</v>
      </c>
      <c r="AQ2" s="155" t="str">
        <f t="shared" si="1"/>
        <v>3P6C</v>
      </c>
    </row>
    <row r="3" spans="3:43" ht="14.25">
      <c r="C3" s="155" t="s">
        <v>395</v>
      </c>
      <c r="D3" s="155" t="s">
        <v>401</v>
      </c>
      <c r="E3" s="155" t="s">
        <v>47</v>
      </c>
      <c r="F3" s="155" t="s">
        <v>395</v>
      </c>
      <c r="G3" s="155" t="s">
        <v>401</v>
      </c>
      <c r="H3" s="155" t="s">
        <v>47</v>
      </c>
      <c r="I3" s="155" t="s">
        <v>397</v>
      </c>
      <c r="J3" s="155" t="s">
        <v>47</v>
      </c>
      <c r="K3" s="155" t="s">
        <v>38</v>
      </c>
      <c r="L3" s="155" t="s">
        <v>395</v>
      </c>
      <c r="M3" s="155" t="s">
        <v>396</v>
      </c>
      <c r="N3" s="155" t="s">
        <v>395</v>
      </c>
      <c r="O3" s="155" t="s">
        <v>47</v>
      </c>
      <c r="P3" s="155" t="s">
        <v>397</v>
      </c>
      <c r="Q3" s="155" t="s">
        <v>38</v>
      </c>
      <c r="R3" s="155" t="s">
        <v>395</v>
      </c>
      <c r="S3" s="155" t="s">
        <v>396</v>
      </c>
      <c r="T3" s="155" t="s">
        <v>397</v>
      </c>
      <c r="U3" s="155" t="s">
        <v>397</v>
      </c>
      <c r="Y3" s="155" t="str">
        <f t="shared" si="0"/>
        <v>CL/TL</v>
      </c>
      <c r="Z3" s="155" t="str">
        <f t="shared" si="0"/>
        <v>TX</v>
      </c>
      <c r="AA3" s="155" t="str">
        <f t="shared" si="0"/>
        <v>TF</v>
      </c>
      <c r="AB3" s="155" t="str">
        <f t="shared" si="0"/>
        <v>CL/TL</v>
      </c>
      <c r="AC3" s="155" t="str">
        <f t="shared" si="0"/>
        <v>TX</v>
      </c>
      <c r="AD3" s="155" t="str">
        <f t="shared" si="0"/>
        <v>TF</v>
      </c>
      <c r="AE3" s="155" t="str">
        <f t="shared" si="0"/>
        <v>CL</v>
      </c>
      <c r="AF3" s="155" t="str">
        <f t="shared" si="0"/>
        <v>TF</v>
      </c>
      <c r="AG3" s="155" t="str">
        <f t="shared" si="0"/>
        <v>TS</v>
      </c>
      <c r="AH3" s="155" t="str">
        <f t="shared" si="0"/>
        <v>CL/TL</v>
      </c>
      <c r="AI3" s="155" t="str">
        <f t="shared" si="1"/>
        <v>CX/TX</v>
      </c>
      <c r="AJ3" s="155" t="str">
        <f t="shared" si="1"/>
        <v>CL/TL</v>
      </c>
      <c r="AK3" s="155" t="str">
        <f t="shared" si="1"/>
        <v>TF</v>
      </c>
      <c r="AL3" s="155" t="str">
        <f t="shared" si="1"/>
        <v>CL</v>
      </c>
      <c r="AM3" s="155" t="str">
        <f t="shared" si="1"/>
        <v>TS</v>
      </c>
      <c r="AN3" s="155" t="str">
        <f t="shared" si="1"/>
        <v>CL/TL</v>
      </c>
      <c r="AO3" s="155" t="str">
        <f t="shared" si="1"/>
        <v>CX/TX</v>
      </c>
      <c r="AP3" s="155" t="str">
        <f t="shared" si="1"/>
        <v>CL</v>
      </c>
      <c r="AQ3" s="155" t="str">
        <f t="shared" si="1"/>
        <v>CL</v>
      </c>
    </row>
    <row r="4" spans="1:43" ht="14.25">
      <c r="A4" s="155" t="s">
        <v>0</v>
      </c>
      <c r="B4" s="155" t="s">
        <v>1</v>
      </c>
      <c r="C4" s="156">
        <v>10</v>
      </c>
      <c r="D4" s="156">
        <v>10</v>
      </c>
      <c r="E4" s="156">
        <v>10</v>
      </c>
      <c r="F4" s="156">
        <v>11</v>
      </c>
      <c r="G4" s="156">
        <v>11</v>
      </c>
      <c r="H4" s="156">
        <v>11</v>
      </c>
      <c r="I4" s="156">
        <v>12</v>
      </c>
      <c r="J4" s="156">
        <v>12</v>
      </c>
      <c r="K4" s="156">
        <v>20</v>
      </c>
      <c r="L4" s="156">
        <v>20</v>
      </c>
      <c r="M4" s="156">
        <v>20</v>
      </c>
      <c r="N4" s="156">
        <v>21</v>
      </c>
      <c r="O4" s="156">
        <v>21</v>
      </c>
      <c r="P4" s="156">
        <v>22</v>
      </c>
      <c r="Q4" s="156">
        <v>30</v>
      </c>
      <c r="R4" s="156">
        <v>30</v>
      </c>
      <c r="S4" s="156">
        <v>30</v>
      </c>
      <c r="T4" s="156">
        <v>31</v>
      </c>
      <c r="U4" s="156">
        <v>32</v>
      </c>
      <c r="W4" s="155" t="str">
        <f>A4</f>
        <v>Height</v>
      </c>
      <c r="X4" s="155" t="str">
        <f>B4</f>
        <v>Fin</v>
      </c>
      <c r="Y4" s="155">
        <f t="shared" si="0"/>
        <v>10</v>
      </c>
      <c r="Z4" s="155">
        <f t="shared" si="0"/>
        <v>10</v>
      </c>
      <c r="AA4" s="155">
        <f t="shared" si="0"/>
        <v>10</v>
      </c>
      <c r="AB4" s="155">
        <f t="shared" si="0"/>
        <v>11</v>
      </c>
      <c r="AC4" s="155">
        <f t="shared" si="0"/>
        <v>11</v>
      </c>
      <c r="AD4" s="155">
        <f t="shared" si="0"/>
        <v>11</v>
      </c>
      <c r="AE4" s="155">
        <f t="shared" si="0"/>
        <v>12</v>
      </c>
      <c r="AF4" s="155">
        <f t="shared" si="0"/>
        <v>12</v>
      </c>
      <c r="AG4" s="155">
        <f t="shared" si="0"/>
        <v>20</v>
      </c>
      <c r="AH4" s="155">
        <f t="shared" si="0"/>
        <v>20</v>
      </c>
      <c r="AI4" s="155">
        <f t="shared" si="1"/>
        <v>20</v>
      </c>
      <c r="AJ4" s="155">
        <f t="shared" si="1"/>
        <v>21</v>
      </c>
      <c r="AK4" s="155">
        <f t="shared" si="1"/>
        <v>21</v>
      </c>
      <c r="AL4" s="155">
        <f t="shared" si="1"/>
        <v>22</v>
      </c>
      <c r="AM4" s="155">
        <f t="shared" si="1"/>
        <v>30</v>
      </c>
      <c r="AN4" s="155">
        <f t="shared" si="1"/>
        <v>30</v>
      </c>
      <c r="AO4" s="155">
        <f t="shared" si="1"/>
        <v>30</v>
      </c>
      <c r="AP4" s="155">
        <f t="shared" si="1"/>
        <v>31</v>
      </c>
      <c r="AQ4" s="155">
        <f t="shared" si="1"/>
        <v>32</v>
      </c>
    </row>
    <row r="5" spans="1:43" ht="15">
      <c r="A5" s="155">
        <v>70</v>
      </c>
      <c r="B5" s="157"/>
      <c r="C5" s="158">
        <v>108</v>
      </c>
      <c r="D5" s="158">
        <v>105</v>
      </c>
      <c r="E5" s="159">
        <v>94</v>
      </c>
      <c r="F5" s="158">
        <v>202</v>
      </c>
      <c r="G5" s="158">
        <v>194</v>
      </c>
      <c r="H5" s="160">
        <v>188.6</v>
      </c>
      <c r="I5" s="158">
        <v>281</v>
      </c>
      <c r="J5" s="160">
        <v>265.68</v>
      </c>
      <c r="K5" s="158">
        <v>270</v>
      </c>
      <c r="L5" s="158">
        <v>392</v>
      </c>
      <c r="M5" s="158">
        <v>376</v>
      </c>
      <c r="N5" s="158">
        <v>477</v>
      </c>
      <c r="O5" s="160">
        <v>451</v>
      </c>
      <c r="P5" s="158">
        <v>553</v>
      </c>
      <c r="Q5" s="158">
        <v>430</v>
      </c>
      <c r="R5" s="158">
        <v>672</v>
      </c>
      <c r="S5" s="158">
        <v>622</v>
      </c>
      <c r="T5" s="158">
        <v>745</v>
      </c>
      <c r="U5" s="158">
        <v>828</v>
      </c>
      <c r="W5" s="155">
        <f aca="true" t="shared" si="2" ref="W5:W18">A5</f>
        <v>70</v>
      </c>
      <c r="Y5" s="155">
        <f aca="true" t="shared" si="3" ref="Y5:Y14">ROUND(C5*$H$20,0)</f>
        <v>108</v>
      </c>
      <c r="Z5" s="155">
        <f aca="true" t="shared" si="4" ref="Z5:Z14">ROUND(D5*$H$20,0)</f>
        <v>105</v>
      </c>
      <c r="AA5" s="155">
        <f aca="true" t="shared" si="5" ref="AA5:AA14">ROUND(E5*$H$20,0)</f>
        <v>94</v>
      </c>
      <c r="AB5" s="155">
        <f aca="true" t="shared" si="6" ref="AB5:AB14">ROUND(F5*$H$20,0)</f>
        <v>202</v>
      </c>
      <c r="AC5" s="155">
        <f aca="true" t="shared" si="7" ref="AC5:AC14">ROUND(G5*$H$20,0)</f>
        <v>194</v>
      </c>
      <c r="AD5" s="155">
        <f aca="true" t="shared" si="8" ref="AD5:AD14">ROUND(H5*$H$20,0)</f>
        <v>189</v>
      </c>
      <c r="AE5" s="155">
        <f aca="true" t="shared" si="9" ref="AE5:AE14">ROUND(I5*$H$20,0)</f>
        <v>281</v>
      </c>
      <c r="AF5" s="155">
        <f aca="true" t="shared" si="10" ref="AF5:AF14">ROUND(J5*$H$20,0)</f>
        <v>266</v>
      </c>
      <c r="AG5" s="155">
        <f aca="true" t="shared" si="11" ref="AG5:AG14">ROUND(K5*$H$20,0)</f>
        <v>270</v>
      </c>
      <c r="AH5" s="155">
        <f aca="true" t="shared" si="12" ref="AH5:AH14">ROUND(L5*$H$20,0)</f>
        <v>392</v>
      </c>
      <c r="AI5" s="155">
        <f aca="true" t="shared" si="13" ref="AI5:AI14">ROUND(M5*$H$20,0)</f>
        <v>376</v>
      </c>
      <c r="AJ5" s="155">
        <f aca="true" t="shared" si="14" ref="AJ5:AJ14">ROUND(N5*$H$20,0)</f>
        <v>477</v>
      </c>
      <c r="AK5" s="155">
        <f aca="true" t="shared" si="15" ref="AK5:AK14">ROUND(O5*$H$20,0)</f>
        <v>451</v>
      </c>
      <c r="AL5" s="155">
        <f aca="true" t="shared" si="16" ref="AL5:AL14">ROUND(P5*$H$20,0)</f>
        <v>553</v>
      </c>
      <c r="AM5" s="155">
        <f aca="true" t="shared" si="17" ref="AM5:AM14">ROUND(Q5*$H$20,0)</f>
        <v>430</v>
      </c>
      <c r="AN5" s="155">
        <f aca="true" t="shared" si="18" ref="AN5:AN14">ROUND(R5*$H$20,0)</f>
        <v>672</v>
      </c>
      <c r="AO5" s="155">
        <f aca="true" t="shared" si="19" ref="AO5:AO14">ROUND(S5*$H$20,0)</f>
        <v>622</v>
      </c>
      <c r="AP5" s="155">
        <f aca="true" t="shared" si="20" ref="AP5:AP14">ROUND(T5*$H$20,0)</f>
        <v>745</v>
      </c>
      <c r="AQ5" s="155">
        <f aca="true" t="shared" si="21" ref="AQ5:AQ14">ROUND(U5*$H$20,0)</f>
        <v>828</v>
      </c>
    </row>
    <row r="6" spans="1:43" ht="15">
      <c r="A6" s="155">
        <f>A5+70</f>
        <v>140</v>
      </c>
      <c r="B6" s="157"/>
      <c r="C6" s="158">
        <v>184</v>
      </c>
      <c r="D6" s="158">
        <v>179</v>
      </c>
      <c r="E6" s="159">
        <v>148</v>
      </c>
      <c r="F6" s="158">
        <v>326</v>
      </c>
      <c r="G6" s="158">
        <v>313</v>
      </c>
      <c r="H6" s="160">
        <v>296.84</v>
      </c>
      <c r="I6" s="158">
        <v>445</v>
      </c>
      <c r="J6" s="160">
        <v>421.48</v>
      </c>
      <c r="K6" s="158">
        <v>402</v>
      </c>
      <c r="L6" s="158">
        <v>601</v>
      </c>
      <c r="M6" s="158">
        <v>573</v>
      </c>
      <c r="N6" s="158">
        <v>738</v>
      </c>
      <c r="O6" s="160">
        <v>707.66</v>
      </c>
      <c r="P6" s="158">
        <v>864</v>
      </c>
      <c r="Q6" s="158">
        <v>616</v>
      </c>
      <c r="R6" s="158">
        <v>1043</v>
      </c>
      <c r="S6" s="158">
        <v>978</v>
      </c>
      <c r="T6" s="158">
        <v>1165</v>
      </c>
      <c r="U6" s="158">
        <v>1295</v>
      </c>
      <c r="W6" s="155">
        <f t="shared" si="2"/>
        <v>140</v>
      </c>
      <c r="Y6" s="155">
        <f t="shared" si="3"/>
        <v>184</v>
      </c>
      <c r="Z6" s="155">
        <f t="shared" si="4"/>
        <v>179</v>
      </c>
      <c r="AA6" s="155">
        <f t="shared" si="5"/>
        <v>148</v>
      </c>
      <c r="AB6" s="155">
        <f t="shared" si="6"/>
        <v>326</v>
      </c>
      <c r="AC6" s="155">
        <f t="shared" si="7"/>
        <v>313</v>
      </c>
      <c r="AD6" s="155">
        <f t="shared" si="8"/>
        <v>297</v>
      </c>
      <c r="AE6" s="155">
        <f t="shared" si="9"/>
        <v>445</v>
      </c>
      <c r="AF6" s="155">
        <f t="shared" si="10"/>
        <v>421</v>
      </c>
      <c r="AG6" s="155">
        <f t="shared" si="11"/>
        <v>402</v>
      </c>
      <c r="AH6" s="155">
        <f t="shared" si="12"/>
        <v>601</v>
      </c>
      <c r="AI6" s="155">
        <f t="shared" si="13"/>
        <v>573</v>
      </c>
      <c r="AJ6" s="155">
        <f t="shared" si="14"/>
        <v>738</v>
      </c>
      <c r="AK6" s="155">
        <f t="shared" si="15"/>
        <v>708</v>
      </c>
      <c r="AL6" s="155">
        <f t="shared" si="16"/>
        <v>864</v>
      </c>
      <c r="AM6" s="155">
        <f t="shared" si="17"/>
        <v>616</v>
      </c>
      <c r="AN6" s="155">
        <f t="shared" si="18"/>
        <v>1043</v>
      </c>
      <c r="AO6" s="155">
        <f t="shared" si="19"/>
        <v>978</v>
      </c>
      <c r="AP6" s="155">
        <f t="shared" si="20"/>
        <v>1165</v>
      </c>
      <c r="AQ6" s="155">
        <f t="shared" si="21"/>
        <v>1295</v>
      </c>
    </row>
    <row r="7" spans="1:43" ht="15">
      <c r="A7" s="155">
        <f aca="true" t="shared" si="22" ref="A7:A18">A6+70</f>
        <v>210</v>
      </c>
      <c r="B7" s="157"/>
      <c r="C7" s="158">
        <v>252</v>
      </c>
      <c r="D7" s="158">
        <v>245</v>
      </c>
      <c r="E7" s="159">
        <v>208</v>
      </c>
      <c r="F7" s="158">
        <v>434</v>
      </c>
      <c r="G7" s="158">
        <v>417</v>
      </c>
      <c r="H7" s="160">
        <v>366.54</v>
      </c>
      <c r="I7" s="158">
        <v>581</v>
      </c>
      <c r="J7" s="160">
        <v>493.64</v>
      </c>
      <c r="K7" s="158">
        <v>531</v>
      </c>
      <c r="L7" s="158">
        <v>791</v>
      </c>
      <c r="M7" s="158">
        <v>753</v>
      </c>
      <c r="N7" s="158">
        <v>962</v>
      </c>
      <c r="O7" s="160">
        <v>814.26</v>
      </c>
      <c r="P7" s="158">
        <v>1127</v>
      </c>
      <c r="Q7" s="158">
        <v>810</v>
      </c>
      <c r="R7" s="158">
        <v>1339</v>
      </c>
      <c r="S7" s="158">
        <v>1265</v>
      </c>
      <c r="T7" s="158">
        <v>1500</v>
      </c>
      <c r="U7" s="158">
        <v>1679</v>
      </c>
      <c r="W7" s="155">
        <f t="shared" si="2"/>
        <v>210</v>
      </c>
      <c r="Y7" s="155">
        <f t="shared" si="3"/>
        <v>252</v>
      </c>
      <c r="Z7" s="155">
        <f t="shared" si="4"/>
        <v>245</v>
      </c>
      <c r="AA7" s="155">
        <f t="shared" si="5"/>
        <v>208</v>
      </c>
      <c r="AB7" s="155">
        <f t="shared" si="6"/>
        <v>434</v>
      </c>
      <c r="AC7" s="155">
        <f t="shared" si="7"/>
        <v>417</v>
      </c>
      <c r="AD7" s="155">
        <f t="shared" si="8"/>
        <v>367</v>
      </c>
      <c r="AE7" s="155">
        <f t="shared" si="9"/>
        <v>581</v>
      </c>
      <c r="AF7" s="155">
        <f t="shared" si="10"/>
        <v>494</v>
      </c>
      <c r="AG7" s="155">
        <f t="shared" si="11"/>
        <v>531</v>
      </c>
      <c r="AH7" s="155">
        <f t="shared" si="12"/>
        <v>791</v>
      </c>
      <c r="AI7" s="155">
        <f t="shared" si="13"/>
        <v>753</v>
      </c>
      <c r="AJ7" s="155">
        <f t="shared" si="14"/>
        <v>962</v>
      </c>
      <c r="AK7" s="155">
        <f t="shared" si="15"/>
        <v>814</v>
      </c>
      <c r="AL7" s="155">
        <f t="shared" si="16"/>
        <v>1127</v>
      </c>
      <c r="AM7" s="155">
        <f t="shared" si="17"/>
        <v>810</v>
      </c>
      <c r="AN7" s="155">
        <f t="shared" si="18"/>
        <v>1339</v>
      </c>
      <c r="AO7" s="155">
        <f t="shared" si="19"/>
        <v>1265</v>
      </c>
      <c r="AP7" s="155">
        <f t="shared" si="20"/>
        <v>1500</v>
      </c>
      <c r="AQ7" s="155">
        <f t="shared" si="21"/>
        <v>1679</v>
      </c>
    </row>
    <row r="8" spans="1:43" ht="15">
      <c r="A8" s="155">
        <f t="shared" si="22"/>
        <v>280</v>
      </c>
      <c r="B8" s="157"/>
      <c r="C8" s="158">
        <v>315</v>
      </c>
      <c r="D8" s="158">
        <v>306</v>
      </c>
      <c r="E8" s="159">
        <v>252</v>
      </c>
      <c r="F8" s="158">
        <v>531</v>
      </c>
      <c r="G8" s="158">
        <v>511</v>
      </c>
      <c r="H8" s="160">
        <v>443.62</v>
      </c>
      <c r="I8" s="158">
        <v>713</v>
      </c>
      <c r="J8" s="160">
        <v>610.9</v>
      </c>
      <c r="K8" s="158">
        <v>662</v>
      </c>
      <c r="L8" s="158">
        <v>963</v>
      </c>
      <c r="M8" s="158">
        <v>919</v>
      </c>
      <c r="N8" s="158">
        <v>1162</v>
      </c>
      <c r="O8" s="160">
        <v>985.64</v>
      </c>
      <c r="P8" s="158">
        <v>1374</v>
      </c>
      <c r="Q8" s="158">
        <v>1041</v>
      </c>
      <c r="R8" s="158">
        <v>1581</v>
      </c>
      <c r="S8" s="158">
        <v>1473</v>
      </c>
      <c r="T8" s="158">
        <v>1773</v>
      </c>
      <c r="U8" s="158">
        <v>2008</v>
      </c>
      <c r="W8" s="155">
        <f t="shared" si="2"/>
        <v>280</v>
      </c>
      <c r="Y8" s="155">
        <f t="shared" si="3"/>
        <v>315</v>
      </c>
      <c r="Z8" s="155">
        <f t="shared" si="4"/>
        <v>306</v>
      </c>
      <c r="AA8" s="155">
        <f t="shared" si="5"/>
        <v>252</v>
      </c>
      <c r="AB8" s="155">
        <f t="shared" si="6"/>
        <v>531</v>
      </c>
      <c r="AC8" s="155">
        <f t="shared" si="7"/>
        <v>511</v>
      </c>
      <c r="AD8" s="155">
        <f t="shared" si="8"/>
        <v>444</v>
      </c>
      <c r="AE8" s="155">
        <f t="shared" si="9"/>
        <v>713</v>
      </c>
      <c r="AF8" s="155">
        <f t="shared" si="10"/>
        <v>611</v>
      </c>
      <c r="AG8" s="155">
        <f t="shared" si="11"/>
        <v>662</v>
      </c>
      <c r="AH8" s="155">
        <f t="shared" si="12"/>
        <v>963</v>
      </c>
      <c r="AI8" s="155">
        <f t="shared" si="13"/>
        <v>919</v>
      </c>
      <c r="AJ8" s="155">
        <f t="shared" si="14"/>
        <v>1162</v>
      </c>
      <c r="AK8" s="155">
        <f t="shared" si="15"/>
        <v>986</v>
      </c>
      <c r="AL8" s="155">
        <f t="shared" si="16"/>
        <v>1374</v>
      </c>
      <c r="AM8" s="155">
        <f t="shared" si="17"/>
        <v>1041</v>
      </c>
      <c r="AN8" s="155">
        <f t="shared" si="18"/>
        <v>1581</v>
      </c>
      <c r="AO8" s="155">
        <f t="shared" si="19"/>
        <v>1473</v>
      </c>
      <c r="AP8" s="155">
        <f t="shared" si="20"/>
        <v>1773</v>
      </c>
      <c r="AQ8" s="155">
        <f t="shared" si="21"/>
        <v>2008</v>
      </c>
    </row>
    <row r="9" spans="1:43" ht="15">
      <c r="A9" s="155">
        <f t="shared" si="22"/>
        <v>350</v>
      </c>
      <c r="B9" s="156">
        <v>280</v>
      </c>
      <c r="C9" s="159">
        <v>393</v>
      </c>
      <c r="D9" s="158">
        <v>382</v>
      </c>
      <c r="E9" s="159">
        <v>322</v>
      </c>
      <c r="F9" s="159">
        <v>589</v>
      </c>
      <c r="G9" s="158">
        <v>566</v>
      </c>
      <c r="H9" s="160">
        <v>482.98</v>
      </c>
      <c r="I9" s="161">
        <v>857</v>
      </c>
      <c r="J9" s="160">
        <v>702.74</v>
      </c>
      <c r="K9" s="161">
        <v>774</v>
      </c>
      <c r="L9" s="159">
        <v>1107</v>
      </c>
      <c r="M9" s="159">
        <v>1054</v>
      </c>
      <c r="N9" s="161">
        <v>1303</v>
      </c>
      <c r="O9" s="160">
        <v>1068.46</v>
      </c>
      <c r="P9" s="161">
        <v>1630</v>
      </c>
      <c r="Q9" s="161">
        <v>1221</v>
      </c>
      <c r="R9" s="161">
        <v>1892</v>
      </c>
      <c r="S9" s="161">
        <v>1768</v>
      </c>
      <c r="T9" s="161">
        <v>2161</v>
      </c>
      <c r="U9" s="161">
        <v>2385</v>
      </c>
      <c r="W9" s="155">
        <f t="shared" si="2"/>
        <v>350</v>
      </c>
      <c r="X9" s="155">
        <f aca="true" t="shared" si="23" ref="X9:X14">B9</f>
        <v>280</v>
      </c>
      <c r="Y9" s="155">
        <f t="shared" si="3"/>
        <v>393</v>
      </c>
      <c r="Z9" s="155">
        <f t="shared" si="4"/>
        <v>382</v>
      </c>
      <c r="AA9" s="155">
        <f t="shared" si="5"/>
        <v>322</v>
      </c>
      <c r="AB9" s="155">
        <f t="shared" si="6"/>
        <v>589</v>
      </c>
      <c r="AC9" s="155">
        <f t="shared" si="7"/>
        <v>566</v>
      </c>
      <c r="AD9" s="155">
        <f t="shared" si="8"/>
        <v>483</v>
      </c>
      <c r="AE9" s="155">
        <f t="shared" si="9"/>
        <v>857</v>
      </c>
      <c r="AF9" s="155">
        <f t="shared" si="10"/>
        <v>703</v>
      </c>
      <c r="AG9" s="155">
        <f t="shared" si="11"/>
        <v>774</v>
      </c>
      <c r="AH9" s="155">
        <f t="shared" si="12"/>
        <v>1107</v>
      </c>
      <c r="AI9" s="155">
        <f t="shared" si="13"/>
        <v>1054</v>
      </c>
      <c r="AJ9" s="155">
        <f t="shared" si="14"/>
        <v>1303</v>
      </c>
      <c r="AK9" s="155">
        <f t="shared" si="15"/>
        <v>1068</v>
      </c>
      <c r="AL9" s="155">
        <f t="shared" si="16"/>
        <v>1630</v>
      </c>
      <c r="AM9" s="155">
        <f t="shared" si="17"/>
        <v>1221</v>
      </c>
      <c r="AN9" s="155">
        <f t="shared" si="18"/>
        <v>1892</v>
      </c>
      <c r="AO9" s="155">
        <f t="shared" si="19"/>
        <v>1768</v>
      </c>
      <c r="AP9" s="155">
        <f t="shared" si="20"/>
        <v>2161</v>
      </c>
      <c r="AQ9" s="155">
        <f t="shared" si="21"/>
        <v>2385</v>
      </c>
    </row>
    <row r="10" spans="1:43" ht="15">
      <c r="A10" s="155">
        <f t="shared" si="22"/>
        <v>420</v>
      </c>
      <c r="B10" s="156">
        <v>420</v>
      </c>
      <c r="C10" s="159">
        <v>468</v>
      </c>
      <c r="D10" s="158">
        <v>454</v>
      </c>
      <c r="E10" s="159">
        <v>384</v>
      </c>
      <c r="F10" s="159">
        <v>650</v>
      </c>
      <c r="G10" s="158">
        <v>625</v>
      </c>
      <c r="H10" s="160">
        <v>533</v>
      </c>
      <c r="I10" s="161">
        <v>985</v>
      </c>
      <c r="J10" s="160">
        <v>807.7</v>
      </c>
      <c r="K10" s="161">
        <v>877</v>
      </c>
      <c r="L10" s="159">
        <v>1218</v>
      </c>
      <c r="M10" s="159">
        <v>1160</v>
      </c>
      <c r="N10" s="161">
        <v>1400</v>
      </c>
      <c r="O10" s="160">
        <v>1148</v>
      </c>
      <c r="P10" s="161">
        <v>1818</v>
      </c>
      <c r="Q10" s="161">
        <v>1386</v>
      </c>
      <c r="R10" s="161">
        <v>2148</v>
      </c>
      <c r="S10" s="161">
        <v>2007</v>
      </c>
      <c r="T10" s="161">
        <v>2507</v>
      </c>
      <c r="U10" s="161">
        <v>2731</v>
      </c>
      <c r="W10" s="155">
        <f t="shared" si="2"/>
        <v>420</v>
      </c>
      <c r="X10" s="155">
        <f t="shared" si="23"/>
        <v>420</v>
      </c>
      <c r="Y10" s="155">
        <f t="shared" si="3"/>
        <v>468</v>
      </c>
      <c r="Z10" s="155">
        <f t="shared" si="4"/>
        <v>454</v>
      </c>
      <c r="AA10" s="155">
        <f t="shared" si="5"/>
        <v>384</v>
      </c>
      <c r="AB10" s="155">
        <f t="shared" si="6"/>
        <v>650</v>
      </c>
      <c r="AC10" s="155">
        <f t="shared" si="7"/>
        <v>625</v>
      </c>
      <c r="AD10" s="155">
        <f t="shared" si="8"/>
        <v>533</v>
      </c>
      <c r="AE10" s="155">
        <f t="shared" si="9"/>
        <v>985</v>
      </c>
      <c r="AF10" s="155">
        <f t="shared" si="10"/>
        <v>808</v>
      </c>
      <c r="AG10" s="155">
        <f t="shared" si="11"/>
        <v>877</v>
      </c>
      <c r="AH10" s="155">
        <f t="shared" si="12"/>
        <v>1218</v>
      </c>
      <c r="AI10" s="155">
        <f t="shared" si="13"/>
        <v>1160</v>
      </c>
      <c r="AJ10" s="155">
        <f t="shared" si="14"/>
        <v>1400</v>
      </c>
      <c r="AK10" s="155">
        <f t="shared" si="15"/>
        <v>1148</v>
      </c>
      <c r="AL10" s="155">
        <f t="shared" si="16"/>
        <v>1818</v>
      </c>
      <c r="AM10" s="155">
        <f t="shared" si="17"/>
        <v>1386</v>
      </c>
      <c r="AN10" s="155">
        <f t="shared" si="18"/>
        <v>2148</v>
      </c>
      <c r="AO10" s="155">
        <f t="shared" si="19"/>
        <v>2007</v>
      </c>
      <c r="AP10" s="155">
        <f t="shared" si="20"/>
        <v>2507</v>
      </c>
      <c r="AQ10" s="155">
        <f t="shared" si="21"/>
        <v>2731</v>
      </c>
    </row>
    <row r="11" spans="1:43" ht="15">
      <c r="A11" s="155">
        <f t="shared" si="22"/>
        <v>490</v>
      </c>
      <c r="B11" s="156">
        <v>420</v>
      </c>
      <c r="C11" s="159">
        <v>538</v>
      </c>
      <c r="D11" s="158">
        <v>522</v>
      </c>
      <c r="E11" s="159">
        <v>441</v>
      </c>
      <c r="F11" s="159">
        <v>710</v>
      </c>
      <c r="G11" s="158">
        <v>683</v>
      </c>
      <c r="H11" s="160">
        <v>582.2</v>
      </c>
      <c r="I11" s="161">
        <v>1113</v>
      </c>
      <c r="J11" s="160">
        <v>912.66</v>
      </c>
      <c r="K11" s="161">
        <v>965</v>
      </c>
      <c r="L11" s="159">
        <v>1369</v>
      </c>
      <c r="M11" s="159">
        <v>1304</v>
      </c>
      <c r="N11" s="161">
        <v>1541</v>
      </c>
      <c r="O11" s="160">
        <v>1263.62</v>
      </c>
      <c r="P11" s="161">
        <v>2027</v>
      </c>
      <c r="Q11" s="161">
        <v>1559</v>
      </c>
      <c r="R11" s="161">
        <v>2427</v>
      </c>
      <c r="S11" s="161">
        <v>2268</v>
      </c>
      <c r="T11" s="161">
        <v>2895</v>
      </c>
      <c r="U11" s="161">
        <v>3113</v>
      </c>
      <c r="W11" s="155">
        <f t="shared" si="2"/>
        <v>490</v>
      </c>
      <c r="X11" s="155">
        <f t="shared" si="23"/>
        <v>420</v>
      </c>
      <c r="Y11" s="155">
        <f t="shared" si="3"/>
        <v>538</v>
      </c>
      <c r="Z11" s="155">
        <f t="shared" si="4"/>
        <v>522</v>
      </c>
      <c r="AA11" s="155">
        <f t="shared" si="5"/>
        <v>441</v>
      </c>
      <c r="AB11" s="155">
        <f t="shared" si="6"/>
        <v>710</v>
      </c>
      <c r="AC11" s="155">
        <f t="shared" si="7"/>
        <v>683</v>
      </c>
      <c r="AD11" s="155">
        <f t="shared" si="8"/>
        <v>582</v>
      </c>
      <c r="AE11" s="155">
        <f t="shared" si="9"/>
        <v>1113</v>
      </c>
      <c r="AF11" s="155">
        <f t="shared" si="10"/>
        <v>913</v>
      </c>
      <c r="AG11" s="155">
        <f t="shared" si="11"/>
        <v>965</v>
      </c>
      <c r="AH11" s="155">
        <f t="shared" si="12"/>
        <v>1369</v>
      </c>
      <c r="AI11" s="155">
        <f t="shared" si="13"/>
        <v>1304</v>
      </c>
      <c r="AJ11" s="155">
        <f t="shared" si="14"/>
        <v>1541</v>
      </c>
      <c r="AK11" s="155">
        <f t="shared" si="15"/>
        <v>1264</v>
      </c>
      <c r="AL11" s="155">
        <f t="shared" si="16"/>
        <v>2027</v>
      </c>
      <c r="AM11" s="155">
        <f t="shared" si="17"/>
        <v>1559</v>
      </c>
      <c r="AN11" s="155">
        <f t="shared" si="18"/>
        <v>2427</v>
      </c>
      <c r="AO11" s="155">
        <f t="shared" si="19"/>
        <v>2268</v>
      </c>
      <c r="AP11" s="155">
        <f t="shared" si="20"/>
        <v>2895</v>
      </c>
      <c r="AQ11" s="155">
        <f t="shared" si="21"/>
        <v>3113</v>
      </c>
    </row>
    <row r="12" spans="1:43" ht="15">
      <c r="A12" s="155">
        <f t="shared" si="22"/>
        <v>560</v>
      </c>
      <c r="B12" s="156">
        <v>560</v>
      </c>
      <c r="C12" s="159">
        <v>607</v>
      </c>
      <c r="D12" s="158">
        <v>589</v>
      </c>
      <c r="E12" s="159">
        <v>498</v>
      </c>
      <c r="F12" s="159">
        <v>770</v>
      </c>
      <c r="G12" s="158">
        <v>740</v>
      </c>
      <c r="H12" s="160">
        <v>631.4</v>
      </c>
      <c r="I12" s="161">
        <v>1247</v>
      </c>
      <c r="J12" s="160">
        <v>1022.54</v>
      </c>
      <c r="K12" s="161">
        <v>1061</v>
      </c>
      <c r="L12" s="159">
        <v>1521</v>
      </c>
      <c r="M12" s="159">
        <v>1449</v>
      </c>
      <c r="N12" s="161">
        <v>1684</v>
      </c>
      <c r="O12" s="160">
        <v>1380.88</v>
      </c>
      <c r="P12" s="161">
        <v>2250</v>
      </c>
      <c r="Q12" s="161">
        <v>1739</v>
      </c>
      <c r="R12" s="161">
        <v>2718</v>
      </c>
      <c r="S12" s="161">
        <v>2540</v>
      </c>
      <c r="T12" s="161">
        <v>3315</v>
      </c>
      <c r="U12" s="161">
        <v>3549</v>
      </c>
      <c r="W12" s="155">
        <f t="shared" si="2"/>
        <v>560</v>
      </c>
      <c r="X12" s="155">
        <f t="shared" si="23"/>
        <v>560</v>
      </c>
      <c r="Y12" s="155">
        <f t="shared" si="3"/>
        <v>607</v>
      </c>
      <c r="Z12" s="155">
        <f t="shared" si="4"/>
        <v>589</v>
      </c>
      <c r="AA12" s="155">
        <f t="shared" si="5"/>
        <v>498</v>
      </c>
      <c r="AB12" s="155">
        <f t="shared" si="6"/>
        <v>770</v>
      </c>
      <c r="AC12" s="155">
        <f t="shared" si="7"/>
        <v>740</v>
      </c>
      <c r="AD12" s="155">
        <f t="shared" si="8"/>
        <v>631</v>
      </c>
      <c r="AE12" s="155">
        <f t="shared" si="9"/>
        <v>1247</v>
      </c>
      <c r="AF12" s="155">
        <f t="shared" si="10"/>
        <v>1023</v>
      </c>
      <c r="AG12" s="155">
        <f t="shared" si="11"/>
        <v>1061</v>
      </c>
      <c r="AH12" s="155">
        <f t="shared" si="12"/>
        <v>1521</v>
      </c>
      <c r="AI12" s="155">
        <f t="shared" si="13"/>
        <v>1449</v>
      </c>
      <c r="AJ12" s="155">
        <f t="shared" si="14"/>
        <v>1684</v>
      </c>
      <c r="AK12" s="155">
        <f t="shared" si="15"/>
        <v>1381</v>
      </c>
      <c r="AL12" s="155">
        <f t="shared" si="16"/>
        <v>2250</v>
      </c>
      <c r="AM12" s="155">
        <f t="shared" si="17"/>
        <v>1739</v>
      </c>
      <c r="AN12" s="155">
        <f t="shared" si="18"/>
        <v>2718</v>
      </c>
      <c r="AO12" s="155">
        <f t="shared" si="19"/>
        <v>2540</v>
      </c>
      <c r="AP12" s="155">
        <f t="shared" si="20"/>
        <v>3315</v>
      </c>
      <c r="AQ12" s="155">
        <f t="shared" si="21"/>
        <v>3549</v>
      </c>
    </row>
    <row r="13" spans="1:43" ht="15">
      <c r="A13" s="155">
        <f t="shared" si="22"/>
        <v>630</v>
      </c>
      <c r="B13" s="156">
        <v>560</v>
      </c>
      <c r="C13" s="159">
        <v>678</v>
      </c>
      <c r="D13" s="158">
        <v>658</v>
      </c>
      <c r="E13" s="159">
        <v>556</v>
      </c>
      <c r="F13" s="159">
        <v>823</v>
      </c>
      <c r="G13" s="158">
        <v>791</v>
      </c>
      <c r="H13" s="160">
        <v>674.86</v>
      </c>
      <c r="I13" s="161">
        <v>1372</v>
      </c>
      <c r="J13" s="160">
        <v>1125.04</v>
      </c>
      <c r="K13" s="161">
        <v>1157</v>
      </c>
      <c r="L13" s="159">
        <v>1699</v>
      </c>
      <c r="M13" s="159">
        <v>1618</v>
      </c>
      <c r="N13" s="161">
        <v>1844</v>
      </c>
      <c r="O13" s="160">
        <v>1512.08</v>
      </c>
      <c r="P13" s="161">
        <v>2475</v>
      </c>
      <c r="Q13" s="161">
        <v>1912</v>
      </c>
      <c r="R13" s="161">
        <v>3044</v>
      </c>
      <c r="S13" s="161">
        <v>2845</v>
      </c>
      <c r="T13" s="161">
        <v>3763</v>
      </c>
      <c r="U13" s="161">
        <v>3993</v>
      </c>
      <c r="W13" s="155">
        <f t="shared" si="2"/>
        <v>630</v>
      </c>
      <c r="X13" s="155">
        <f t="shared" si="23"/>
        <v>560</v>
      </c>
      <c r="Y13" s="155">
        <f t="shared" si="3"/>
        <v>678</v>
      </c>
      <c r="Z13" s="155">
        <f t="shared" si="4"/>
        <v>658</v>
      </c>
      <c r="AA13" s="155">
        <f t="shared" si="5"/>
        <v>556</v>
      </c>
      <c r="AB13" s="155">
        <f t="shared" si="6"/>
        <v>823</v>
      </c>
      <c r="AC13" s="155">
        <f t="shared" si="7"/>
        <v>791</v>
      </c>
      <c r="AD13" s="155">
        <f t="shared" si="8"/>
        <v>675</v>
      </c>
      <c r="AE13" s="155">
        <f t="shared" si="9"/>
        <v>1372</v>
      </c>
      <c r="AF13" s="155">
        <f t="shared" si="10"/>
        <v>1125</v>
      </c>
      <c r="AG13" s="155">
        <f t="shared" si="11"/>
        <v>1157</v>
      </c>
      <c r="AH13" s="155">
        <f t="shared" si="12"/>
        <v>1699</v>
      </c>
      <c r="AI13" s="155">
        <f t="shared" si="13"/>
        <v>1618</v>
      </c>
      <c r="AJ13" s="155">
        <f t="shared" si="14"/>
        <v>1844</v>
      </c>
      <c r="AK13" s="155">
        <f t="shared" si="15"/>
        <v>1512</v>
      </c>
      <c r="AL13" s="155">
        <f t="shared" si="16"/>
        <v>2475</v>
      </c>
      <c r="AM13" s="155">
        <f t="shared" si="17"/>
        <v>1912</v>
      </c>
      <c r="AN13" s="155">
        <f t="shared" si="18"/>
        <v>3044</v>
      </c>
      <c r="AO13" s="155">
        <f t="shared" si="19"/>
        <v>2845</v>
      </c>
      <c r="AP13" s="155">
        <f t="shared" si="20"/>
        <v>3763</v>
      </c>
      <c r="AQ13" s="155">
        <f t="shared" si="21"/>
        <v>3993</v>
      </c>
    </row>
    <row r="14" spans="1:43" ht="15">
      <c r="A14" s="155">
        <f t="shared" si="22"/>
        <v>700</v>
      </c>
      <c r="B14" s="156">
        <v>560</v>
      </c>
      <c r="C14" s="159">
        <v>744</v>
      </c>
      <c r="D14" s="158">
        <v>722</v>
      </c>
      <c r="E14" s="159">
        <v>599</v>
      </c>
      <c r="F14" s="159">
        <v>873</v>
      </c>
      <c r="G14" s="158">
        <v>839</v>
      </c>
      <c r="H14" s="160">
        <v>715.86</v>
      </c>
      <c r="I14" s="161">
        <v>1509</v>
      </c>
      <c r="J14" s="160">
        <v>1237.38</v>
      </c>
      <c r="K14" s="161">
        <v>1272</v>
      </c>
      <c r="L14" s="159">
        <v>2046</v>
      </c>
      <c r="M14" s="159">
        <v>1949</v>
      </c>
      <c r="N14" s="161">
        <v>2006</v>
      </c>
      <c r="O14" s="160">
        <v>1644.92</v>
      </c>
      <c r="P14" s="161">
        <v>2710</v>
      </c>
      <c r="Q14" s="161">
        <v>2094</v>
      </c>
      <c r="R14" s="161">
        <v>3394</v>
      </c>
      <c r="S14" s="161">
        <v>3172</v>
      </c>
      <c r="T14" s="161">
        <v>4252</v>
      </c>
      <c r="U14" s="161">
        <v>4432</v>
      </c>
      <c r="W14" s="155">
        <f t="shared" si="2"/>
        <v>700</v>
      </c>
      <c r="X14" s="155">
        <f t="shared" si="23"/>
        <v>560</v>
      </c>
      <c r="Y14" s="155">
        <f t="shared" si="3"/>
        <v>744</v>
      </c>
      <c r="Z14" s="155">
        <f t="shared" si="4"/>
        <v>722</v>
      </c>
      <c r="AA14" s="155">
        <f t="shared" si="5"/>
        <v>599</v>
      </c>
      <c r="AB14" s="155">
        <f t="shared" si="6"/>
        <v>873</v>
      </c>
      <c r="AC14" s="155">
        <f t="shared" si="7"/>
        <v>839</v>
      </c>
      <c r="AD14" s="155">
        <f t="shared" si="8"/>
        <v>716</v>
      </c>
      <c r="AE14" s="155">
        <f t="shared" si="9"/>
        <v>1509</v>
      </c>
      <c r="AF14" s="155">
        <f t="shared" si="10"/>
        <v>1237</v>
      </c>
      <c r="AG14" s="155">
        <f t="shared" si="11"/>
        <v>1272</v>
      </c>
      <c r="AH14" s="155">
        <f t="shared" si="12"/>
        <v>2046</v>
      </c>
      <c r="AI14" s="155">
        <f t="shared" si="13"/>
        <v>1949</v>
      </c>
      <c r="AJ14" s="155">
        <f t="shared" si="14"/>
        <v>2006</v>
      </c>
      <c r="AK14" s="155">
        <f t="shared" si="15"/>
        <v>1645</v>
      </c>
      <c r="AL14" s="155">
        <f t="shared" si="16"/>
        <v>2710</v>
      </c>
      <c r="AM14" s="155">
        <f t="shared" si="17"/>
        <v>2094</v>
      </c>
      <c r="AN14" s="155">
        <f t="shared" si="18"/>
        <v>3394</v>
      </c>
      <c r="AO14" s="155">
        <f t="shared" si="19"/>
        <v>3172</v>
      </c>
      <c r="AP14" s="155">
        <f t="shared" si="20"/>
        <v>4252</v>
      </c>
      <c r="AQ14" s="155">
        <f t="shared" si="21"/>
        <v>4432</v>
      </c>
    </row>
    <row r="15" spans="1:43" ht="15">
      <c r="A15" s="155">
        <f t="shared" si="22"/>
        <v>770</v>
      </c>
      <c r="B15" s="157"/>
      <c r="C15" s="159">
        <v>811</v>
      </c>
      <c r="D15" s="158">
        <v>787</v>
      </c>
      <c r="E15" s="161">
        <v>665</v>
      </c>
      <c r="F15" s="159">
        <v>925</v>
      </c>
      <c r="G15" s="158">
        <v>889</v>
      </c>
      <c r="H15" s="160">
        <v>758.5</v>
      </c>
      <c r="I15" s="161">
        <v>1638</v>
      </c>
      <c r="J15" s="160">
        <v>1343.16</v>
      </c>
      <c r="K15" s="161">
        <v>1399</v>
      </c>
      <c r="L15" s="159">
        <v>2220</v>
      </c>
      <c r="M15" s="159">
        <v>2114</v>
      </c>
      <c r="N15" s="161">
        <v>2167</v>
      </c>
      <c r="O15" s="160">
        <v>1776.94</v>
      </c>
      <c r="P15" s="161">
        <v>2967</v>
      </c>
      <c r="Q15" s="159">
        <v>2272</v>
      </c>
      <c r="R15" s="161">
        <v>3733</v>
      </c>
      <c r="S15" s="161">
        <v>3489</v>
      </c>
      <c r="T15" s="159">
        <v>4783</v>
      </c>
      <c r="U15" s="161">
        <v>4875</v>
      </c>
      <c r="W15" s="155">
        <f t="shared" si="2"/>
        <v>770</v>
      </c>
      <c r="Y15" s="155">
        <f aca="true" t="shared" si="24" ref="Y15:AH18">ROUND(C15*$H$20,0)</f>
        <v>811</v>
      </c>
      <c r="Z15" s="155">
        <f t="shared" si="24"/>
        <v>787</v>
      </c>
      <c r="AA15" s="155">
        <f t="shared" si="24"/>
        <v>665</v>
      </c>
      <c r="AB15" s="155">
        <f t="shared" si="24"/>
        <v>925</v>
      </c>
      <c r="AC15" s="155">
        <f t="shared" si="24"/>
        <v>889</v>
      </c>
      <c r="AD15" s="155">
        <f t="shared" si="24"/>
        <v>759</v>
      </c>
      <c r="AE15" s="155">
        <f t="shared" si="24"/>
        <v>1638</v>
      </c>
      <c r="AF15" s="155">
        <f t="shared" si="24"/>
        <v>1343</v>
      </c>
      <c r="AG15" s="155">
        <f t="shared" si="24"/>
        <v>1399</v>
      </c>
      <c r="AH15" s="155">
        <f t="shared" si="24"/>
        <v>2220</v>
      </c>
      <c r="AI15" s="155">
        <f aca="true" t="shared" si="25" ref="AI15:AQ18">ROUND(M15*$H$20,0)</f>
        <v>2114</v>
      </c>
      <c r="AJ15" s="155">
        <f t="shared" si="25"/>
        <v>2167</v>
      </c>
      <c r="AK15" s="155">
        <f t="shared" si="25"/>
        <v>1777</v>
      </c>
      <c r="AL15" s="155">
        <f t="shared" si="25"/>
        <v>2967</v>
      </c>
      <c r="AM15" s="155">
        <f t="shared" si="25"/>
        <v>2272</v>
      </c>
      <c r="AN15" s="155">
        <f t="shared" si="25"/>
        <v>3733</v>
      </c>
      <c r="AO15" s="155">
        <f t="shared" si="25"/>
        <v>3489</v>
      </c>
      <c r="AP15" s="155">
        <f t="shared" si="25"/>
        <v>4783</v>
      </c>
      <c r="AQ15" s="155">
        <f t="shared" si="25"/>
        <v>4875</v>
      </c>
    </row>
    <row r="16" spans="1:43" ht="15">
      <c r="A16" s="155">
        <f t="shared" si="22"/>
        <v>840</v>
      </c>
      <c r="C16" s="161">
        <v>880</v>
      </c>
      <c r="D16" s="158">
        <v>854</v>
      </c>
      <c r="E16" s="161">
        <v>704</v>
      </c>
      <c r="F16" s="161">
        <v>981</v>
      </c>
      <c r="G16" s="158">
        <v>943</v>
      </c>
      <c r="H16" s="160">
        <v>804.42</v>
      </c>
      <c r="I16" s="161">
        <v>1766</v>
      </c>
      <c r="J16" s="160">
        <v>1448.12</v>
      </c>
      <c r="K16" s="161">
        <v>1526</v>
      </c>
      <c r="L16" s="161">
        <v>2409</v>
      </c>
      <c r="M16" s="161">
        <v>2294</v>
      </c>
      <c r="N16" s="161">
        <v>2339</v>
      </c>
      <c r="O16" s="160">
        <v>1917.98</v>
      </c>
      <c r="P16" s="161">
        <v>3219</v>
      </c>
      <c r="Q16" s="161">
        <v>2443</v>
      </c>
      <c r="R16" s="161">
        <v>4070</v>
      </c>
      <c r="S16" s="161">
        <v>3804</v>
      </c>
      <c r="T16" s="161">
        <v>5310</v>
      </c>
      <c r="U16" s="161">
        <v>5363</v>
      </c>
      <c r="W16" s="155">
        <f t="shared" si="2"/>
        <v>840</v>
      </c>
      <c r="Y16" s="155">
        <f t="shared" si="24"/>
        <v>880</v>
      </c>
      <c r="Z16" s="155">
        <f t="shared" si="24"/>
        <v>854</v>
      </c>
      <c r="AA16" s="155">
        <f t="shared" si="24"/>
        <v>704</v>
      </c>
      <c r="AB16" s="155">
        <f t="shared" si="24"/>
        <v>981</v>
      </c>
      <c r="AC16" s="155">
        <f t="shared" si="24"/>
        <v>943</v>
      </c>
      <c r="AD16" s="155">
        <f t="shared" si="24"/>
        <v>804</v>
      </c>
      <c r="AE16" s="155">
        <f t="shared" si="24"/>
        <v>1766</v>
      </c>
      <c r="AF16" s="155">
        <f t="shared" si="24"/>
        <v>1448</v>
      </c>
      <c r="AG16" s="155">
        <f t="shared" si="24"/>
        <v>1526</v>
      </c>
      <c r="AH16" s="155">
        <f t="shared" si="24"/>
        <v>2409</v>
      </c>
      <c r="AI16" s="155">
        <f t="shared" si="25"/>
        <v>2294</v>
      </c>
      <c r="AJ16" s="155">
        <f t="shared" si="25"/>
        <v>2339</v>
      </c>
      <c r="AK16" s="155">
        <f t="shared" si="25"/>
        <v>1918</v>
      </c>
      <c r="AL16" s="155">
        <f t="shared" si="25"/>
        <v>3219</v>
      </c>
      <c r="AM16" s="155">
        <f t="shared" si="25"/>
        <v>2443</v>
      </c>
      <c r="AN16" s="155">
        <f t="shared" si="25"/>
        <v>4070</v>
      </c>
      <c r="AO16" s="155">
        <f t="shared" si="25"/>
        <v>3804</v>
      </c>
      <c r="AP16" s="155">
        <f t="shared" si="25"/>
        <v>5310</v>
      </c>
      <c r="AQ16" s="155">
        <f t="shared" si="25"/>
        <v>5363</v>
      </c>
    </row>
    <row r="17" spans="1:43" ht="15">
      <c r="A17" s="155">
        <f t="shared" si="22"/>
        <v>910</v>
      </c>
      <c r="C17" s="161">
        <v>955</v>
      </c>
      <c r="D17" s="158">
        <v>927</v>
      </c>
      <c r="E17" s="161">
        <v>783</v>
      </c>
      <c r="F17" s="161">
        <v>1040</v>
      </c>
      <c r="G17" s="158">
        <v>1000</v>
      </c>
      <c r="H17" s="160">
        <v>852.8</v>
      </c>
      <c r="I17" s="161">
        <v>1893</v>
      </c>
      <c r="J17" s="160">
        <v>1552.26</v>
      </c>
      <c r="K17" s="161">
        <v>1663</v>
      </c>
      <c r="L17" s="161">
        <v>2601</v>
      </c>
      <c r="M17" s="161">
        <v>2477</v>
      </c>
      <c r="N17" s="161">
        <v>2515</v>
      </c>
      <c r="O17" s="160">
        <v>2062.3</v>
      </c>
      <c r="P17" s="161">
        <v>3461</v>
      </c>
      <c r="Q17" s="161">
        <v>2626</v>
      </c>
      <c r="R17" s="161">
        <v>4436</v>
      </c>
      <c r="S17" s="161">
        <v>4146</v>
      </c>
      <c r="T17" s="161">
        <v>5841</v>
      </c>
      <c r="U17" s="161">
        <v>5845</v>
      </c>
      <c r="W17" s="155">
        <f t="shared" si="2"/>
        <v>910</v>
      </c>
      <c r="Y17" s="155">
        <f t="shared" si="24"/>
        <v>955</v>
      </c>
      <c r="Z17" s="155">
        <f t="shared" si="24"/>
        <v>927</v>
      </c>
      <c r="AA17" s="155">
        <f t="shared" si="24"/>
        <v>783</v>
      </c>
      <c r="AB17" s="155">
        <f t="shared" si="24"/>
        <v>1040</v>
      </c>
      <c r="AC17" s="155">
        <f t="shared" si="24"/>
        <v>1000</v>
      </c>
      <c r="AD17" s="155">
        <f t="shared" si="24"/>
        <v>853</v>
      </c>
      <c r="AE17" s="155">
        <f t="shared" si="24"/>
        <v>1893</v>
      </c>
      <c r="AF17" s="155">
        <f t="shared" si="24"/>
        <v>1552</v>
      </c>
      <c r="AG17" s="155">
        <f t="shared" si="24"/>
        <v>1663</v>
      </c>
      <c r="AH17" s="155">
        <f t="shared" si="24"/>
        <v>2601</v>
      </c>
      <c r="AI17" s="155">
        <f t="shared" si="25"/>
        <v>2477</v>
      </c>
      <c r="AJ17" s="155">
        <f t="shared" si="25"/>
        <v>2515</v>
      </c>
      <c r="AK17" s="155">
        <f t="shared" si="25"/>
        <v>2062</v>
      </c>
      <c r="AL17" s="155">
        <f t="shared" si="25"/>
        <v>3461</v>
      </c>
      <c r="AM17" s="155">
        <f t="shared" si="25"/>
        <v>2626</v>
      </c>
      <c r="AN17" s="155">
        <f t="shared" si="25"/>
        <v>4436</v>
      </c>
      <c r="AO17" s="155">
        <f t="shared" si="25"/>
        <v>4146</v>
      </c>
      <c r="AP17" s="155">
        <f t="shared" si="25"/>
        <v>5841</v>
      </c>
      <c r="AQ17" s="155">
        <f t="shared" si="25"/>
        <v>5845</v>
      </c>
    </row>
    <row r="18" spans="1:43" ht="15">
      <c r="A18" s="155">
        <f t="shared" si="22"/>
        <v>980</v>
      </c>
      <c r="C18" s="161">
        <v>1031</v>
      </c>
      <c r="D18" s="158">
        <v>1001</v>
      </c>
      <c r="E18" s="161">
        <v>825</v>
      </c>
      <c r="F18" s="161">
        <v>1097</v>
      </c>
      <c r="G18" s="158">
        <v>1055</v>
      </c>
      <c r="H18" s="160">
        <v>899.54</v>
      </c>
      <c r="I18" s="161">
        <v>2018</v>
      </c>
      <c r="J18" s="160">
        <v>1654.76</v>
      </c>
      <c r="K18" s="161">
        <v>1796</v>
      </c>
      <c r="L18" s="161">
        <v>2796</v>
      </c>
      <c r="M18" s="161">
        <v>2663</v>
      </c>
      <c r="N18" s="161">
        <v>2691</v>
      </c>
      <c r="O18" s="160">
        <v>2206.62</v>
      </c>
      <c r="P18" s="161">
        <v>3686</v>
      </c>
      <c r="Q18" s="161">
        <v>2809</v>
      </c>
      <c r="R18" s="161">
        <v>4835</v>
      </c>
      <c r="S18" s="161">
        <v>4519</v>
      </c>
      <c r="T18" s="161">
        <v>6366</v>
      </c>
      <c r="U18" s="161">
        <v>6371</v>
      </c>
      <c r="W18" s="155">
        <f t="shared" si="2"/>
        <v>980</v>
      </c>
      <c r="Y18" s="155">
        <f t="shared" si="24"/>
        <v>1031</v>
      </c>
      <c r="Z18" s="155">
        <f t="shared" si="24"/>
        <v>1001</v>
      </c>
      <c r="AA18" s="155">
        <f t="shared" si="24"/>
        <v>825</v>
      </c>
      <c r="AB18" s="155">
        <f t="shared" si="24"/>
        <v>1097</v>
      </c>
      <c r="AC18" s="155">
        <f t="shared" si="24"/>
        <v>1055</v>
      </c>
      <c r="AD18" s="155">
        <f t="shared" si="24"/>
        <v>900</v>
      </c>
      <c r="AE18" s="155">
        <f t="shared" si="24"/>
        <v>2018</v>
      </c>
      <c r="AF18" s="155">
        <f t="shared" si="24"/>
        <v>1655</v>
      </c>
      <c r="AG18" s="155">
        <f t="shared" si="24"/>
        <v>1796</v>
      </c>
      <c r="AH18" s="155">
        <f t="shared" si="24"/>
        <v>2796</v>
      </c>
      <c r="AI18" s="155">
        <f t="shared" si="25"/>
        <v>2663</v>
      </c>
      <c r="AJ18" s="155">
        <f t="shared" si="25"/>
        <v>2691</v>
      </c>
      <c r="AK18" s="155">
        <f t="shared" si="25"/>
        <v>2207</v>
      </c>
      <c r="AL18" s="155">
        <f t="shared" si="25"/>
        <v>3686</v>
      </c>
      <c r="AM18" s="155">
        <f t="shared" si="25"/>
        <v>2809</v>
      </c>
      <c r="AN18" s="155">
        <f t="shared" si="25"/>
        <v>4835</v>
      </c>
      <c r="AO18" s="155">
        <f t="shared" si="25"/>
        <v>4519</v>
      </c>
      <c r="AP18" s="155">
        <f t="shared" si="25"/>
        <v>6366</v>
      </c>
      <c r="AQ18" s="155">
        <f t="shared" si="25"/>
        <v>6371</v>
      </c>
    </row>
    <row r="19" spans="1:8" ht="14.25">
      <c r="A19" s="155" t="s">
        <v>44</v>
      </c>
      <c r="B19" s="155" t="s">
        <v>43</v>
      </c>
      <c r="C19" s="155" t="s">
        <v>42</v>
      </c>
      <c r="D19" s="155" t="s">
        <v>41</v>
      </c>
      <c r="E19" s="155" t="s">
        <v>38</v>
      </c>
      <c r="F19" s="155" t="s">
        <v>47</v>
      </c>
      <c r="G19" s="158"/>
      <c r="H19" s="162" t="s">
        <v>131</v>
      </c>
    </row>
    <row r="20" spans="1:15" ht="14.25">
      <c r="A20" s="155" t="s">
        <v>30</v>
      </c>
      <c r="B20" s="155">
        <v>400</v>
      </c>
      <c r="H20" s="163">
        <f>ROUND((((('Convectors+Radiators'!$B$4-'Convectors+Radiators'!$B$6)/LN(('Convectors+Radiators'!$B$4-'Convectors+Radiators'!$B$8)/('Convectors+Radiators'!$B$6-'Convectors+Radiators'!$B$8)))/((75-65)/LN((75-20)/(65-20))))^1.2),10)</f>
        <v>1</v>
      </c>
      <c r="N20" s="162"/>
      <c r="O20" s="162"/>
    </row>
    <row r="21" spans="1:15" ht="14.25">
      <c r="A21" s="155" t="s">
        <v>29</v>
      </c>
      <c r="B21" s="155">
        <v>6000</v>
      </c>
      <c r="C21" s="164" t="s">
        <v>360</v>
      </c>
      <c r="D21" s="155">
        <v>2800</v>
      </c>
      <c r="O21" s="163"/>
    </row>
    <row r="24" spans="1:8" ht="14.25">
      <c r="A24" s="165" t="s">
        <v>359</v>
      </c>
      <c r="B24" s="166"/>
      <c r="C24" s="166"/>
      <c r="D24" s="166"/>
      <c r="E24" s="165"/>
      <c r="F24" s="165"/>
      <c r="G24" s="165"/>
      <c r="H24" s="165"/>
    </row>
    <row r="25" spans="1:10" ht="14.25">
      <c r="A25" s="167" t="s">
        <v>407</v>
      </c>
      <c r="D25" s="166" t="str">
        <f>"W /element "&amp;Vertical!B4&amp;"/"&amp;Vertical!B6&amp;"/"&amp;Vertical!B8</f>
        <v>W /element 75/65/20</v>
      </c>
      <c r="E25" s="165"/>
      <c r="F25" s="155" t="s">
        <v>406</v>
      </c>
      <c r="G25" s="165"/>
      <c r="H25" s="166"/>
      <c r="J25" s="162" t="s">
        <v>131</v>
      </c>
    </row>
    <row r="26" spans="1:37" ht="14.25">
      <c r="A26" s="155">
        <v>5.83333</v>
      </c>
      <c r="B26" s="155" t="s">
        <v>358</v>
      </c>
      <c r="D26" s="166">
        <f>A26*J26</f>
        <v>5.83333</v>
      </c>
      <c r="E26" s="168"/>
      <c r="F26" s="156">
        <v>1</v>
      </c>
      <c r="G26" s="168"/>
      <c r="H26" s="166"/>
      <c r="J26" s="163">
        <f>ROUND(((((Vertical!$B$4-Vertical!$B$6)/LN((Vertical!$B$4-Vertical!$B$8)/(Vertical!$B$6-Vertical!$B$8)))/((75-65)/LN((75-20)/(65-20))))^1.21),2)</f>
        <v>1</v>
      </c>
      <c r="S26" s="158"/>
      <c r="T26" s="158"/>
      <c r="U26" s="158"/>
      <c r="V26" s="158"/>
      <c r="W26" s="158"/>
      <c r="X26" s="169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</row>
    <row r="27" spans="1:21" ht="14.25">
      <c r="A27" s="155">
        <v>35.83333</v>
      </c>
      <c r="B27" s="155" t="s">
        <v>357</v>
      </c>
      <c r="D27" s="166">
        <f>A27*J26</f>
        <v>35.83333</v>
      </c>
      <c r="E27" s="168"/>
      <c r="F27" s="183">
        <f>F26+0.57</f>
        <v>1.5699999999999998</v>
      </c>
      <c r="G27" s="168"/>
      <c r="H27" s="166"/>
      <c r="J27" s="167"/>
      <c r="M27" s="158"/>
      <c r="P27" s="158"/>
      <c r="Q27" s="158"/>
      <c r="R27" s="158"/>
      <c r="S27" s="158"/>
      <c r="T27" s="158"/>
      <c r="U27" s="158"/>
    </row>
    <row r="28" spans="1:21" ht="14.25">
      <c r="A28" s="155" t="s">
        <v>355</v>
      </c>
      <c r="B28" s="155">
        <v>1000</v>
      </c>
      <c r="C28" s="168"/>
      <c r="D28" s="166"/>
      <c r="E28" s="167"/>
      <c r="F28" s="183">
        <f>F27+0.57</f>
        <v>2.1399999999999997</v>
      </c>
      <c r="G28" s="168"/>
      <c r="H28" s="166"/>
      <c r="I28" s="165"/>
      <c r="J28" s="167"/>
      <c r="P28" s="158"/>
      <c r="Q28" s="158"/>
      <c r="R28" s="158"/>
      <c r="S28" s="158"/>
      <c r="T28" s="158"/>
      <c r="U28" s="158"/>
    </row>
    <row r="29" spans="1:39" ht="14.25">
      <c r="A29" s="155" t="s">
        <v>356</v>
      </c>
      <c r="B29" s="155">
        <v>3200</v>
      </c>
      <c r="P29" s="170"/>
      <c r="Q29" s="170"/>
      <c r="R29" s="170"/>
      <c r="S29" s="170"/>
      <c r="T29" s="170"/>
      <c r="U29" s="170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</row>
    <row r="30" spans="15:37" ht="14.25">
      <c r="O30" s="162"/>
      <c r="P30" s="158"/>
      <c r="Q30" s="158"/>
      <c r="R30" s="158"/>
      <c r="S30" s="158"/>
      <c r="T30" s="158"/>
      <c r="U30" s="158"/>
      <c r="X30" s="158"/>
      <c r="Y30" s="156"/>
      <c r="Z30" s="158"/>
      <c r="AA30" s="158"/>
      <c r="AB30" s="158"/>
      <c r="AE30" s="158"/>
      <c r="AF30" s="158"/>
      <c r="AG30" s="171"/>
      <c r="AH30" s="158"/>
      <c r="AK30" s="158"/>
    </row>
    <row r="31" spans="1:37" ht="14.25">
      <c r="A31" s="155" t="s">
        <v>117</v>
      </c>
      <c r="E31" s="162"/>
      <c r="Q31" s="158"/>
      <c r="R31" s="158"/>
      <c r="S31" s="158"/>
      <c r="T31" s="158"/>
      <c r="U31" s="158"/>
      <c r="X31" s="158"/>
      <c r="Y31" s="156"/>
      <c r="Z31" s="158"/>
      <c r="AA31" s="158"/>
      <c r="AB31" s="158"/>
      <c r="AE31" s="158"/>
      <c r="AF31" s="158"/>
      <c r="AG31" s="158"/>
      <c r="AH31" s="158"/>
      <c r="AK31" s="158"/>
    </row>
    <row r="32" spans="1:37" ht="14.25">
      <c r="A32" s="155" t="s">
        <v>61</v>
      </c>
      <c r="B32" s="155">
        <f aca="true" t="shared" si="26" ref="B32:M32">C32+200</f>
        <v>3400</v>
      </c>
      <c r="C32" s="155">
        <f t="shared" si="26"/>
        <v>3200</v>
      </c>
      <c r="D32" s="155">
        <f t="shared" si="26"/>
        <v>3000</v>
      </c>
      <c r="E32" s="155">
        <f t="shared" si="26"/>
        <v>2800</v>
      </c>
      <c r="F32" s="155">
        <f t="shared" si="26"/>
        <v>2600</v>
      </c>
      <c r="G32" s="155">
        <f t="shared" si="26"/>
        <v>2400</v>
      </c>
      <c r="H32" s="155">
        <f t="shared" si="26"/>
        <v>2200</v>
      </c>
      <c r="I32" s="155">
        <f t="shared" si="26"/>
        <v>2000</v>
      </c>
      <c r="J32" s="155">
        <f t="shared" si="26"/>
        <v>1800</v>
      </c>
      <c r="K32" s="155">
        <f t="shared" si="26"/>
        <v>1600</v>
      </c>
      <c r="L32" s="155">
        <f t="shared" si="26"/>
        <v>1400</v>
      </c>
      <c r="M32" s="155">
        <f t="shared" si="26"/>
        <v>1200</v>
      </c>
      <c r="N32" s="155">
        <v>1000</v>
      </c>
      <c r="P32" s="158">
        <v>1000</v>
      </c>
      <c r="Q32" s="171"/>
      <c r="R32" s="171"/>
      <c r="S32" s="171"/>
      <c r="T32" s="171"/>
      <c r="U32" s="171"/>
      <c r="X32" s="171"/>
      <c r="Y32" s="156"/>
      <c r="Z32" s="171"/>
      <c r="AA32" s="171"/>
      <c r="AB32" s="171"/>
      <c r="AE32" s="172"/>
      <c r="AF32" s="158"/>
      <c r="AG32" s="158"/>
      <c r="AH32" s="158"/>
      <c r="AK32" s="158"/>
    </row>
    <row r="33" spans="1:37" ht="14.25">
      <c r="A33" s="155" t="s">
        <v>112</v>
      </c>
      <c r="B33" s="155">
        <v>1586</v>
      </c>
      <c r="C33" s="155">
        <v>1468</v>
      </c>
      <c r="D33" s="155">
        <v>1349</v>
      </c>
      <c r="E33" s="155">
        <v>1231</v>
      </c>
      <c r="F33" s="155">
        <v>1113</v>
      </c>
      <c r="G33" s="155">
        <v>994</v>
      </c>
      <c r="H33" s="155">
        <v>876</v>
      </c>
      <c r="I33" s="155">
        <v>759</v>
      </c>
      <c r="J33" s="155">
        <v>642</v>
      </c>
      <c r="K33" s="155">
        <v>526</v>
      </c>
      <c r="L33" s="155">
        <v>410</v>
      </c>
      <c r="M33" s="155">
        <v>296</v>
      </c>
      <c r="N33" s="155">
        <v>183</v>
      </c>
      <c r="P33" s="173">
        <f aca="true" t="shared" si="27" ref="P33:P44">P32+200</f>
        <v>1200</v>
      </c>
      <c r="Q33" s="158"/>
      <c r="R33" s="158"/>
      <c r="S33" s="158"/>
      <c r="T33" s="158"/>
      <c r="U33" s="158"/>
      <c r="V33" s="158"/>
      <c r="W33" s="158"/>
      <c r="X33" s="158"/>
      <c r="Y33" s="156"/>
      <c r="Z33" s="158"/>
      <c r="AA33" s="158"/>
      <c r="AB33" s="158"/>
      <c r="AE33" s="158"/>
      <c r="AF33" s="158"/>
      <c r="AG33" s="158"/>
      <c r="AH33" s="158"/>
      <c r="AK33" s="158"/>
    </row>
    <row r="34" spans="1:37" ht="14.25">
      <c r="A34" s="155" t="s">
        <v>66</v>
      </c>
      <c r="B34" s="155">
        <v>1242</v>
      </c>
      <c r="C34" s="155">
        <v>1145</v>
      </c>
      <c r="D34" s="155">
        <v>1049</v>
      </c>
      <c r="E34" s="155">
        <v>953</v>
      </c>
      <c r="F34" s="155">
        <v>857</v>
      </c>
      <c r="G34" s="155">
        <v>761</v>
      </c>
      <c r="H34" s="155">
        <v>666</v>
      </c>
      <c r="I34" s="155">
        <v>571</v>
      </c>
      <c r="J34" s="155">
        <v>477</v>
      </c>
      <c r="K34" s="155">
        <v>384</v>
      </c>
      <c r="L34" s="155">
        <v>292</v>
      </c>
      <c r="M34" s="155">
        <v>202</v>
      </c>
      <c r="N34" s="155">
        <v>116</v>
      </c>
      <c r="P34" s="173">
        <f t="shared" si="27"/>
        <v>1400</v>
      </c>
      <c r="Q34" s="158"/>
      <c r="R34" s="158"/>
      <c r="S34" s="158"/>
      <c r="T34" s="158"/>
      <c r="U34" s="158"/>
      <c r="V34" s="158"/>
      <c r="W34" s="158"/>
      <c r="X34" s="158"/>
      <c r="Y34" s="156"/>
      <c r="Z34" s="158">
        <v>20</v>
      </c>
      <c r="AA34" s="158">
        <v>30</v>
      </c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</row>
    <row r="35" spans="1:37" ht="14.25">
      <c r="A35" s="155" t="s">
        <v>64</v>
      </c>
      <c r="B35" s="155">
        <v>1033</v>
      </c>
      <c r="C35" s="155">
        <v>949</v>
      </c>
      <c r="D35" s="155">
        <v>866</v>
      </c>
      <c r="E35" s="155">
        <v>783</v>
      </c>
      <c r="F35" s="155">
        <v>700</v>
      </c>
      <c r="G35" s="155">
        <v>618</v>
      </c>
      <c r="H35" s="155">
        <v>535</v>
      </c>
      <c r="I35" s="155">
        <v>454</v>
      </c>
      <c r="J35" s="155">
        <v>374</v>
      </c>
      <c r="K35" s="155">
        <v>296</v>
      </c>
      <c r="L35" s="155">
        <v>219</v>
      </c>
      <c r="M35" s="155">
        <v>145</v>
      </c>
      <c r="N35" s="155">
        <v>76</v>
      </c>
      <c r="P35" s="173">
        <f t="shared" si="27"/>
        <v>1600</v>
      </c>
      <c r="Q35" s="158"/>
      <c r="R35" s="158"/>
      <c r="S35" s="158"/>
      <c r="T35" s="158"/>
      <c r="U35" s="158"/>
      <c r="V35" s="158"/>
      <c r="W35" s="158"/>
      <c r="X35" s="158"/>
      <c r="Y35" s="156"/>
      <c r="Z35" s="158">
        <v>227</v>
      </c>
      <c r="AA35" s="158">
        <v>376</v>
      </c>
      <c r="AB35" s="158"/>
      <c r="AC35" s="158">
        <v>376</v>
      </c>
      <c r="AD35" s="158">
        <v>622</v>
      </c>
      <c r="AE35" s="158"/>
      <c r="AF35" s="158"/>
      <c r="AG35" s="158"/>
      <c r="AH35" s="158"/>
      <c r="AI35" s="158"/>
      <c r="AJ35" s="158"/>
      <c r="AK35" s="158"/>
    </row>
    <row r="36" spans="1:30" ht="14.25">
      <c r="A36" s="155" t="s">
        <v>114</v>
      </c>
      <c r="B36" s="155">
        <v>1079</v>
      </c>
      <c r="C36" s="155">
        <v>995</v>
      </c>
      <c r="D36" s="155">
        <v>910</v>
      </c>
      <c r="E36" s="155">
        <v>826</v>
      </c>
      <c r="F36" s="155">
        <v>742</v>
      </c>
      <c r="G36" s="155">
        <v>658</v>
      </c>
      <c r="H36" s="155">
        <v>574</v>
      </c>
      <c r="I36" s="155">
        <v>491</v>
      </c>
      <c r="J36" s="155">
        <v>409</v>
      </c>
      <c r="K36" s="155">
        <v>328</v>
      </c>
      <c r="L36" s="155">
        <v>248</v>
      </c>
      <c r="M36" s="155">
        <v>170</v>
      </c>
      <c r="N36" s="155">
        <v>96</v>
      </c>
      <c r="P36" s="173">
        <f t="shared" si="27"/>
        <v>1800</v>
      </c>
      <c r="Q36" s="158"/>
      <c r="R36" s="158"/>
      <c r="S36" s="158"/>
      <c r="T36" s="158"/>
      <c r="U36" s="158"/>
      <c r="Z36" s="155">
        <v>346</v>
      </c>
      <c r="AA36" s="155">
        <v>591</v>
      </c>
      <c r="AC36" s="158">
        <v>573</v>
      </c>
      <c r="AD36" s="158">
        <v>978</v>
      </c>
    </row>
    <row r="37" spans="1:30" ht="14.25">
      <c r="A37" s="155" t="s">
        <v>113</v>
      </c>
      <c r="B37" s="155">
        <v>1105</v>
      </c>
      <c r="C37" s="155">
        <v>1021</v>
      </c>
      <c r="D37" s="155">
        <v>937</v>
      </c>
      <c r="E37" s="155">
        <v>854</v>
      </c>
      <c r="F37" s="155">
        <v>771</v>
      </c>
      <c r="G37" s="155">
        <v>688</v>
      </c>
      <c r="H37" s="155">
        <v>605</v>
      </c>
      <c r="I37" s="155">
        <v>522</v>
      </c>
      <c r="J37" s="155">
        <v>440</v>
      </c>
      <c r="K37" s="155">
        <v>359</v>
      </c>
      <c r="L37" s="155">
        <v>278</v>
      </c>
      <c r="M37" s="155">
        <v>198</v>
      </c>
      <c r="N37" s="155">
        <v>120</v>
      </c>
      <c r="P37" s="173">
        <f t="shared" si="27"/>
        <v>2000</v>
      </c>
      <c r="Q37" s="158"/>
      <c r="R37" s="158"/>
      <c r="S37" s="158"/>
      <c r="T37" s="158"/>
      <c r="U37" s="158"/>
      <c r="Z37" s="155">
        <v>455</v>
      </c>
      <c r="AA37" s="155">
        <v>764</v>
      </c>
      <c r="AC37" s="158">
        <v>753</v>
      </c>
      <c r="AD37" s="158">
        <v>1265</v>
      </c>
    </row>
    <row r="38" spans="1:30" ht="14.25">
      <c r="A38" s="155" t="s">
        <v>65</v>
      </c>
      <c r="B38" s="155">
        <v>873</v>
      </c>
      <c r="C38" s="155">
        <v>808</v>
      </c>
      <c r="D38" s="155">
        <v>743</v>
      </c>
      <c r="E38" s="155">
        <v>678</v>
      </c>
      <c r="F38" s="155">
        <v>613</v>
      </c>
      <c r="G38" s="155">
        <v>549</v>
      </c>
      <c r="H38" s="155">
        <v>484</v>
      </c>
      <c r="I38" s="155">
        <v>420</v>
      </c>
      <c r="J38" s="155">
        <v>355</v>
      </c>
      <c r="K38" s="155">
        <v>292</v>
      </c>
      <c r="L38" s="155">
        <v>227</v>
      </c>
      <c r="M38" s="155">
        <v>164</v>
      </c>
      <c r="N38" s="155">
        <v>102</v>
      </c>
      <c r="P38" s="173">
        <f t="shared" si="27"/>
        <v>2200</v>
      </c>
      <c r="Q38" s="158"/>
      <c r="R38" s="158"/>
      <c r="S38" s="158"/>
      <c r="T38" s="158"/>
      <c r="U38" s="158"/>
      <c r="Z38" s="155">
        <v>555</v>
      </c>
      <c r="AA38" s="155">
        <v>890</v>
      </c>
      <c r="AC38" s="158">
        <v>919</v>
      </c>
      <c r="AD38" s="158">
        <v>1473</v>
      </c>
    </row>
    <row r="39" spans="1:21" ht="14.25">
      <c r="A39" s="155" t="s">
        <v>112</v>
      </c>
      <c r="B39" s="155" t="s">
        <v>60</v>
      </c>
      <c r="C39" s="155" t="s">
        <v>59</v>
      </c>
      <c r="D39" s="155" t="s">
        <v>58</v>
      </c>
      <c r="E39" s="155" t="s">
        <v>57</v>
      </c>
      <c r="F39" s="155" t="s">
        <v>56</v>
      </c>
      <c r="G39" s="155" t="s">
        <v>55</v>
      </c>
      <c r="H39" s="155" t="s">
        <v>54</v>
      </c>
      <c r="I39" s="155" t="s">
        <v>53</v>
      </c>
      <c r="J39" s="155" t="s">
        <v>52</v>
      </c>
      <c r="K39" s="155" t="s">
        <v>51</v>
      </c>
      <c r="L39" s="155" t="s">
        <v>50</v>
      </c>
      <c r="M39" s="155" t="s">
        <v>49</v>
      </c>
      <c r="N39" s="155" t="s">
        <v>48</v>
      </c>
      <c r="P39" s="173">
        <f t="shared" si="27"/>
        <v>2400</v>
      </c>
      <c r="Q39" s="158"/>
      <c r="R39" s="158"/>
      <c r="S39" s="158"/>
      <c r="T39" s="158"/>
      <c r="U39" s="158"/>
    </row>
    <row r="40" spans="1:22" ht="14.25">
      <c r="A40" s="155" t="s">
        <v>66</v>
      </c>
      <c r="B40" s="155" t="s">
        <v>106</v>
      </c>
      <c r="C40" s="155" t="s">
        <v>105</v>
      </c>
      <c r="D40" s="155" t="s">
        <v>51</v>
      </c>
      <c r="E40" s="155" t="s">
        <v>104</v>
      </c>
      <c r="F40" s="155" t="s">
        <v>103</v>
      </c>
      <c r="G40" s="155" t="s">
        <v>102</v>
      </c>
      <c r="H40" s="155" t="s">
        <v>79</v>
      </c>
      <c r="I40" s="155" t="s">
        <v>75</v>
      </c>
      <c r="J40" s="155" t="s">
        <v>73</v>
      </c>
      <c r="K40" s="155" t="s">
        <v>91</v>
      </c>
      <c r="L40" s="155" t="s">
        <v>71</v>
      </c>
      <c r="M40" s="155" t="s">
        <v>69</v>
      </c>
      <c r="N40" s="155" t="s">
        <v>101</v>
      </c>
      <c r="P40" s="173">
        <f t="shared" si="27"/>
        <v>2600</v>
      </c>
      <c r="V40" s="158"/>
    </row>
    <row r="41" spans="1:39" ht="14.25">
      <c r="A41" s="155" t="s">
        <v>64</v>
      </c>
      <c r="B41" s="155" t="s">
        <v>77</v>
      </c>
      <c r="C41" s="155" t="s">
        <v>76</v>
      </c>
      <c r="D41" s="155" t="s">
        <v>75</v>
      </c>
      <c r="E41" s="155" t="s">
        <v>74</v>
      </c>
      <c r="F41" s="155" t="s">
        <v>73</v>
      </c>
      <c r="G41" s="155" t="s">
        <v>72</v>
      </c>
      <c r="H41" s="155" t="s">
        <v>48</v>
      </c>
      <c r="I41" s="155" t="s">
        <v>71</v>
      </c>
      <c r="J41" s="155" t="s">
        <v>70</v>
      </c>
      <c r="K41" s="155" t="s">
        <v>69</v>
      </c>
      <c r="L41" s="155" t="s">
        <v>68</v>
      </c>
      <c r="M41" s="155" t="s">
        <v>67</v>
      </c>
      <c r="N41" s="155" t="s">
        <v>78</v>
      </c>
      <c r="P41" s="173">
        <f t="shared" si="27"/>
        <v>2800</v>
      </c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14.25">
      <c r="A42" s="155" t="s">
        <v>114</v>
      </c>
      <c r="B42" s="155" t="s">
        <v>111</v>
      </c>
      <c r="C42" s="155" t="s">
        <v>110</v>
      </c>
      <c r="D42" s="155" t="s">
        <v>80</v>
      </c>
      <c r="E42" s="155" t="s">
        <v>50</v>
      </c>
      <c r="F42" s="155" t="s">
        <v>102</v>
      </c>
      <c r="G42" s="155" t="s">
        <v>79</v>
      </c>
      <c r="H42" s="155" t="s">
        <v>75</v>
      </c>
      <c r="I42" s="155" t="s">
        <v>109</v>
      </c>
      <c r="J42" s="155" t="s">
        <v>72</v>
      </c>
      <c r="K42" s="155" t="s">
        <v>108</v>
      </c>
      <c r="L42" s="155" t="s">
        <v>70</v>
      </c>
      <c r="M42" s="155" t="s">
        <v>107</v>
      </c>
      <c r="N42" s="155" t="s">
        <v>67</v>
      </c>
      <c r="P42" s="173">
        <f t="shared" si="27"/>
        <v>3000</v>
      </c>
      <c r="V42" s="158"/>
      <c r="W42" s="158"/>
      <c r="X42" s="158"/>
      <c r="Y42" s="158"/>
      <c r="Z42" s="158"/>
      <c r="AA42" s="158"/>
      <c r="AB42" s="158">
        <v>20</v>
      </c>
      <c r="AC42" s="158">
        <v>0.5</v>
      </c>
      <c r="AD42" s="158"/>
      <c r="AE42" s="158"/>
      <c r="AF42" s="158">
        <v>30</v>
      </c>
      <c r="AG42" s="158">
        <v>0.7</v>
      </c>
      <c r="AH42" s="158"/>
      <c r="AI42" s="158"/>
      <c r="AJ42" s="158"/>
      <c r="AK42" s="158"/>
      <c r="AL42" s="158"/>
      <c r="AM42" s="158"/>
    </row>
    <row r="43" spans="1:39" ht="14.25">
      <c r="A43" s="155" t="s">
        <v>113</v>
      </c>
      <c r="B43" s="155" t="s">
        <v>100</v>
      </c>
      <c r="C43" s="155" t="s">
        <v>99</v>
      </c>
      <c r="D43" s="155" t="s">
        <v>98</v>
      </c>
      <c r="E43" s="155" t="s">
        <v>97</v>
      </c>
      <c r="F43" s="155" t="s">
        <v>53</v>
      </c>
      <c r="G43" s="155" t="s">
        <v>96</v>
      </c>
      <c r="H43" s="155" t="s">
        <v>95</v>
      </c>
      <c r="I43" s="155" t="s">
        <v>51</v>
      </c>
      <c r="J43" s="155" t="s">
        <v>94</v>
      </c>
      <c r="K43" s="155" t="s">
        <v>93</v>
      </c>
      <c r="L43" s="155" t="s">
        <v>92</v>
      </c>
      <c r="M43" s="155" t="s">
        <v>91</v>
      </c>
      <c r="N43" s="155" t="s">
        <v>90</v>
      </c>
      <c r="P43" s="173">
        <f t="shared" si="27"/>
        <v>3200</v>
      </c>
      <c r="V43" s="158"/>
      <c r="W43" s="158"/>
      <c r="X43" s="158"/>
      <c r="Y43" s="158"/>
      <c r="Z43" s="158"/>
      <c r="AA43" s="158">
        <v>392</v>
      </c>
      <c r="AB43" s="158">
        <v>376</v>
      </c>
      <c r="AC43" s="158">
        <f>AA43-AB43</f>
        <v>16</v>
      </c>
      <c r="AD43" s="158">
        <f>AA43/AB43</f>
        <v>1.0425531914893618</v>
      </c>
      <c r="AE43" s="158">
        <v>672</v>
      </c>
      <c r="AF43" s="158">
        <v>622</v>
      </c>
      <c r="AG43" s="158">
        <f>AE43-AF43</f>
        <v>50</v>
      </c>
      <c r="AH43" s="158">
        <f>AE43/AF43</f>
        <v>1.0803858520900322</v>
      </c>
      <c r="AI43" s="158"/>
      <c r="AJ43" s="158"/>
      <c r="AK43" s="158"/>
      <c r="AL43" s="158"/>
      <c r="AM43" s="158"/>
    </row>
    <row r="44" spans="1:39" ht="14.25">
      <c r="A44" s="155" t="s">
        <v>65</v>
      </c>
      <c r="B44" s="155" t="s">
        <v>89</v>
      </c>
      <c r="C44" s="155" t="s">
        <v>88</v>
      </c>
      <c r="D44" s="155" t="s">
        <v>59</v>
      </c>
      <c r="E44" s="155" t="s">
        <v>87</v>
      </c>
      <c r="F44" s="155" t="s">
        <v>86</v>
      </c>
      <c r="G44" s="155" t="s">
        <v>85</v>
      </c>
      <c r="H44" s="155" t="s">
        <v>84</v>
      </c>
      <c r="I44" s="155" t="s">
        <v>83</v>
      </c>
      <c r="J44" s="155" t="s">
        <v>82</v>
      </c>
      <c r="K44" s="155" t="s">
        <v>81</v>
      </c>
      <c r="L44" s="155" t="s">
        <v>80</v>
      </c>
      <c r="M44" s="155" t="s">
        <v>79</v>
      </c>
      <c r="N44" s="155" t="s">
        <v>72</v>
      </c>
      <c r="P44" s="173">
        <f t="shared" si="27"/>
        <v>3400</v>
      </c>
      <c r="V44" s="158"/>
      <c r="W44" s="158"/>
      <c r="X44" s="158"/>
      <c r="Y44" s="158"/>
      <c r="Z44" s="158"/>
      <c r="AA44" s="158">
        <v>601</v>
      </c>
      <c r="AB44" s="158">
        <v>573</v>
      </c>
      <c r="AC44" s="158">
        <f aca="true" t="shared" si="28" ref="AC44:AC56">AA44-AB44</f>
        <v>28</v>
      </c>
      <c r="AD44" s="158">
        <f aca="true" t="shared" si="29" ref="AD44:AD56">AA44/AB44</f>
        <v>1.0488656195462478</v>
      </c>
      <c r="AE44" s="158">
        <v>1043</v>
      </c>
      <c r="AF44" s="158">
        <v>978</v>
      </c>
      <c r="AG44" s="158">
        <f aca="true" t="shared" si="30" ref="AG44:AG56">AE44-AF44</f>
        <v>65</v>
      </c>
      <c r="AH44" s="158">
        <f aca="true" t="shared" si="31" ref="AH44:AH56">AE44/AF44</f>
        <v>1.0664621676891615</v>
      </c>
      <c r="AI44" s="158"/>
      <c r="AJ44" s="158"/>
      <c r="AK44" s="158"/>
      <c r="AL44" s="158"/>
      <c r="AM44" s="158"/>
    </row>
    <row r="45" spans="16:34" ht="14.25">
      <c r="P45" s="173"/>
      <c r="S45" s="174"/>
      <c r="AA45" s="158">
        <v>791</v>
      </c>
      <c r="AB45" s="158">
        <v>753</v>
      </c>
      <c r="AC45" s="158">
        <f t="shared" si="28"/>
        <v>38</v>
      </c>
      <c r="AD45" s="158">
        <f t="shared" si="29"/>
        <v>1.050464807436919</v>
      </c>
      <c r="AE45" s="158">
        <v>1339</v>
      </c>
      <c r="AF45" s="158">
        <v>1265</v>
      </c>
      <c r="AG45" s="158">
        <f t="shared" si="30"/>
        <v>74</v>
      </c>
      <c r="AH45" s="158">
        <f t="shared" si="31"/>
        <v>1.0584980237154151</v>
      </c>
    </row>
    <row r="46" spans="1:34" ht="14.25">
      <c r="A46" s="155" t="s">
        <v>350</v>
      </c>
      <c r="S46" s="174"/>
      <c r="AA46" s="158">
        <v>963</v>
      </c>
      <c r="AB46" s="158">
        <v>919</v>
      </c>
      <c r="AC46" s="158">
        <f t="shared" si="28"/>
        <v>44</v>
      </c>
      <c r="AD46" s="158">
        <f t="shared" si="29"/>
        <v>1.0478781284004353</v>
      </c>
      <c r="AE46" s="158">
        <v>1581</v>
      </c>
      <c r="AF46" s="158">
        <v>1473</v>
      </c>
      <c r="AG46" s="158">
        <f t="shared" si="30"/>
        <v>108</v>
      </c>
      <c r="AH46" s="158">
        <f t="shared" si="31"/>
        <v>1.0733197556008147</v>
      </c>
    </row>
    <row r="47" spans="1:34" ht="15">
      <c r="A47" s="155" t="s">
        <v>118</v>
      </c>
      <c r="B47" s="155" t="s">
        <v>143</v>
      </c>
      <c r="C47" s="155" t="s">
        <v>63</v>
      </c>
      <c r="E47" s="155" t="s">
        <v>31</v>
      </c>
      <c r="F47" s="162" t="s">
        <v>131</v>
      </c>
      <c r="G47" s="155" t="str">
        <f>"W/M @ "&amp;ProLine!$B$4&amp;"/"&amp;ProLine!$B$6&amp;"/"&amp;ProLine!$B$8</f>
        <v>W/M @ 75/65/20</v>
      </c>
      <c r="S47" s="174"/>
      <c r="AA47" s="159">
        <v>1107</v>
      </c>
      <c r="AB47" s="159">
        <f>ROUND(AA47/1.05,0)</f>
        <v>1054</v>
      </c>
      <c r="AC47" s="158">
        <f t="shared" si="28"/>
        <v>53</v>
      </c>
      <c r="AD47" s="158">
        <f t="shared" si="29"/>
        <v>1.0502846299810247</v>
      </c>
      <c r="AE47" s="161">
        <v>1892</v>
      </c>
      <c r="AF47" s="159">
        <f>ROUND(AE47/1.07,0)</f>
        <v>1768</v>
      </c>
      <c r="AG47" s="158">
        <f t="shared" si="30"/>
        <v>124</v>
      </c>
      <c r="AH47" s="158">
        <f t="shared" si="31"/>
        <v>1.0701357466063348</v>
      </c>
    </row>
    <row r="48" spans="1:34" ht="15">
      <c r="A48" s="164" t="s">
        <v>119</v>
      </c>
      <c r="B48" s="155">
        <v>179</v>
      </c>
      <c r="C48" s="155">
        <v>220</v>
      </c>
      <c r="E48" s="155">
        <v>1.45</v>
      </c>
      <c r="F48" s="163">
        <f>ROUND(((((ProLine!$B$4-ProLine!$B$6)/LN((ProLine!B$4-ProLine!B$8)/(ProLine!B$6-ProLine!B$8)))/((75-65)/LN((75-20)/(65-20))))^E48),2)</f>
        <v>1</v>
      </c>
      <c r="G48" s="155">
        <f aca="true" t="shared" si="32" ref="G48:G53">ROUND(C48*F48,0)</f>
        <v>220</v>
      </c>
      <c r="I48" s="175"/>
      <c r="J48" s="175"/>
      <c r="S48" s="174"/>
      <c r="AA48" s="159">
        <v>1218</v>
      </c>
      <c r="AB48" s="159">
        <f aca="true" t="shared" si="33" ref="AB48:AB56">ROUND(AA48/1.05,0)</f>
        <v>1160</v>
      </c>
      <c r="AC48" s="158">
        <f t="shared" si="28"/>
        <v>58</v>
      </c>
      <c r="AD48" s="158">
        <f t="shared" si="29"/>
        <v>1.05</v>
      </c>
      <c r="AE48" s="161">
        <v>2148</v>
      </c>
      <c r="AF48" s="159">
        <f aca="true" t="shared" si="34" ref="AF48:AF56">ROUND(AE48/1.07,0)</f>
        <v>2007</v>
      </c>
      <c r="AG48" s="158">
        <f t="shared" si="30"/>
        <v>141</v>
      </c>
      <c r="AH48" s="158">
        <f t="shared" si="31"/>
        <v>1.070254110612855</v>
      </c>
    </row>
    <row r="49" spans="1:34" ht="15">
      <c r="A49" s="164" t="s">
        <v>120</v>
      </c>
      <c r="B49" s="155">
        <v>203</v>
      </c>
      <c r="C49" s="155">
        <v>279</v>
      </c>
      <c r="E49" s="155">
        <v>1.25</v>
      </c>
      <c r="F49" s="163">
        <f>ROUND(((((ProLine!$B$4-ProLine!$B$6)/LN((ProLine!B$4-ProLine!B$8)/(ProLine!B$6-ProLine!B$8)))/((75-65)/LN((75-20)/(65-20))))^E49),2)</f>
        <v>1</v>
      </c>
      <c r="G49" s="155">
        <f t="shared" si="32"/>
        <v>279</v>
      </c>
      <c r="I49" s="175"/>
      <c r="J49" s="175"/>
      <c r="S49" s="174"/>
      <c r="AA49" s="159">
        <v>1369</v>
      </c>
      <c r="AB49" s="159">
        <f t="shared" si="33"/>
        <v>1304</v>
      </c>
      <c r="AC49" s="158">
        <f t="shared" si="28"/>
        <v>65</v>
      </c>
      <c r="AD49" s="158">
        <f t="shared" si="29"/>
        <v>1.0498466257668713</v>
      </c>
      <c r="AE49" s="161">
        <v>2427</v>
      </c>
      <c r="AF49" s="159">
        <f t="shared" si="34"/>
        <v>2268</v>
      </c>
      <c r="AG49" s="158">
        <f t="shared" si="30"/>
        <v>159</v>
      </c>
      <c r="AH49" s="158">
        <f t="shared" si="31"/>
        <v>1.07010582010582</v>
      </c>
    </row>
    <row r="50" spans="1:34" ht="15">
      <c r="A50" s="164" t="s">
        <v>121</v>
      </c>
      <c r="B50" s="155">
        <v>227</v>
      </c>
      <c r="C50" s="155">
        <v>331</v>
      </c>
      <c r="E50" s="155">
        <v>1.1</v>
      </c>
      <c r="F50" s="163">
        <f>ROUND(((((ProLine!$B$4-ProLine!$B$6)/LN((ProLine!B$4-ProLine!B$8)/(ProLine!B$6-ProLine!B$8)))/((75-65)/LN((75-20)/(65-20))))^E50),2)</f>
        <v>1</v>
      </c>
      <c r="G50" s="155">
        <f t="shared" si="32"/>
        <v>331</v>
      </c>
      <c r="I50" s="175"/>
      <c r="J50" s="175"/>
      <c r="S50" s="174"/>
      <c r="AA50" s="159">
        <v>1521</v>
      </c>
      <c r="AB50" s="159">
        <f t="shared" si="33"/>
        <v>1449</v>
      </c>
      <c r="AC50" s="158">
        <f t="shared" si="28"/>
        <v>72</v>
      </c>
      <c r="AD50" s="158">
        <f t="shared" si="29"/>
        <v>1.049689440993789</v>
      </c>
      <c r="AE50" s="161">
        <v>2718</v>
      </c>
      <c r="AF50" s="159">
        <f t="shared" si="34"/>
        <v>2540</v>
      </c>
      <c r="AG50" s="158">
        <f t="shared" si="30"/>
        <v>178</v>
      </c>
      <c r="AH50" s="158">
        <f t="shared" si="31"/>
        <v>1.0700787401574803</v>
      </c>
    </row>
    <row r="51" spans="1:34" ht="15">
      <c r="A51" s="164" t="s">
        <v>122</v>
      </c>
      <c r="B51" s="155">
        <v>275</v>
      </c>
      <c r="C51" s="155">
        <v>377</v>
      </c>
      <c r="E51" s="155">
        <v>1.15</v>
      </c>
      <c r="F51" s="163">
        <f>ROUND(((((ProLine!$B$4-ProLine!$B$6)/LN((ProLine!B$4-ProLine!B$8)/(ProLine!B$6-ProLine!B$8)))/((75-65)/LN((75-20)/(65-20))))^E51),2)</f>
        <v>1</v>
      </c>
      <c r="G51" s="155">
        <f t="shared" si="32"/>
        <v>377</v>
      </c>
      <c r="I51" s="175"/>
      <c r="J51" s="175"/>
      <c r="S51" s="174"/>
      <c r="AA51" s="159">
        <v>1699</v>
      </c>
      <c r="AB51" s="159">
        <f t="shared" si="33"/>
        <v>1618</v>
      </c>
      <c r="AC51" s="158">
        <f t="shared" si="28"/>
        <v>81</v>
      </c>
      <c r="AD51" s="158">
        <f t="shared" si="29"/>
        <v>1.050061804697157</v>
      </c>
      <c r="AE51" s="161">
        <v>3044</v>
      </c>
      <c r="AF51" s="159">
        <f t="shared" si="34"/>
        <v>2845</v>
      </c>
      <c r="AG51" s="158">
        <f t="shared" si="30"/>
        <v>199</v>
      </c>
      <c r="AH51" s="158">
        <f t="shared" si="31"/>
        <v>1.0699472759226714</v>
      </c>
    </row>
    <row r="52" spans="1:34" ht="15">
      <c r="A52" s="164" t="s">
        <v>123</v>
      </c>
      <c r="B52" s="155">
        <v>323</v>
      </c>
      <c r="C52" s="155">
        <v>416</v>
      </c>
      <c r="E52" s="155">
        <v>1.25</v>
      </c>
      <c r="F52" s="163">
        <f>ROUND(((((ProLine!$B$4-ProLine!$B$6)/LN((ProLine!B$4-ProLine!B$8)/(ProLine!B$6-ProLine!B$8)))/((75-65)/LN((75-20)/(65-20))))^E52),2)</f>
        <v>1</v>
      </c>
      <c r="G52" s="155">
        <f t="shared" si="32"/>
        <v>416</v>
      </c>
      <c r="I52" s="175"/>
      <c r="J52" s="175"/>
      <c r="S52" s="174"/>
      <c r="AA52" s="159">
        <v>2046</v>
      </c>
      <c r="AB52" s="159">
        <f t="shared" si="33"/>
        <v>1949</v>
      </c>
      <c r="AC52" s="158">
        <f t="shared" si="28"/>
        <v>97</v>
      </c>
      <c r="AD52" s="158">
        <f t="shared" si="29"/>
        <v>1.0497691123653154</v>
      </c>
      <c r="AE52" s="161">
        <v>3394</v>
      </c>
      <c r="AF52" s="159">
        <f t="shared" si="34"/>
        <v>3172</v>
      </c>
      <c r="AG52" s="158">
        <f t="shared" si="30"/>
        <v>222</v>
      </c>
      <c r="AH52" s="158">
        <f t="shared" si="31"/>
        <v>1.069987389659521</v>
      </c>
    </row>
    <row r="53" spans="1:34" ht="15">
      <c r="A53" s="164" t="s">
        <v>390</v>
      </c>
      <c r="B53" s="155">
        <v>299</v>
      </c>
      <c r="C53" s="155">
        <v>236</v>
      </c>
      <c r="E53" s="155">
        <v>1.1591</v>
      </c>
      <c r="F53" s="163">
        <f>ROUND(((((ProLine!$B$4-ProLine!$B$6)/LN((ProLine!B$4-ProLine!B$8)/(ProLine!B$6-ProLine!B$8)))/((75-65)/LN((75-20)/(65-20))))^E53),2)</f>
        <v>1</v>
      </c>
      <c r="G53" s="155">
        <f t="shared" si="32"/>
        <v>236</v>
      </c>
      <c r="AA53" s="159">
        <v>2220</v>
      </c>
      <c r="AB53" s="159">
        <f t="shared" si="33"/>
        <v>2114</v>
      </c>
      <c r="AC53" s="158">
        <f t="shared" si="28"/>
        <v>106</v>
      </c>
      <c r="AD53" s="158">
        <f t="shared" si="29"/>
        <v>1.0501419110690633</v>
      </c>
      <c r="AE53" s="161">
        <v>3733</v>
      </c>
      <c r="AF53" s="159">
        <f t="shared" si="34"/>
        <v>3489</v>
      </c>
      <c r="AG53" s="158">
        <f t="shared" si="30"/>
        <v>244</v>
      </c>
      <c r="AH53" s="158">
        <f t="shared" si="31"/>
        <v>1.0699340785325309</v>
      </c>
    </row>
    <row r="54" spans="1:34" ht="15">
      <c r="A54" s="164" t="s">
        <v>391</v>
      </c>
      <c r="B54" s="155">
        <v>323</v>
      </c>
      <c r="C54" s="155">
        <v>308</v>
      </c>
      <c r="E54" s="155">
        <v>1.1348</v>
      </c>
      <c r="F54" s="163">
        <f>ROUND(((((ProLine!$B$4-ProLine!$B$6)/LN((ProLine!B$4-ProLine!B$8)/(ProLine!B$6-ProLine!B$8)))/((75-65)/LN((75-20)/(65-20))))^E54),2)</f>
        <v>1</v>
      </c>
      <c r="G54" s="155">
        <f aca="true" t="shared" si="35" ref="G54:G64">ROUND(C54*F54,0)</f>
        <v>308</v>
      </c>
      <c r="AA54" s="161">
        <v>2409</v>
      </c>
      <c r="AB54" s="159">
        <f t="shared" si="33"/>
        <v>2294</v>
      </c>
      <c r="AC54" s="158">
        <f t="shared" si="28"/>
        <v>115</v>
      </c>
      <c r="AD54" s="158">
        <f t="shared" si="29"/>
        <v>1.0501307759372276</v>
      </c>
      <c r="AE54" s="161">
        <v>4070</v>
      </c>
      <c r="AF54" s="159">
        <f t="shared" si="34"/>
        <v>3804</v>
      </c>
      <c r="AG54" s="158">
        <f t="shared" si="30"/>
        <v>266</v>
      </c>
      <c r="AH54" s="158">
        <f t="shared" si="31"/>
        <v>1.0699263932702419</v>
      </c>
    </row>
    <row r="55" spans="1:34" ht="15">
      <c r="A55" s="164" t="s">
        <v>392</v>
      </c>
      <c r="B55" s="155">
        <v>347</v>
      </c>
      <c r="C55" s="155">
        <v>369</v>
      </c>
      <c r="E55" s="155">
        <v>1.1104</v>
      </c>
      <c r="F55" s="163">
        <f>ROUND(((((ProLine!$B$4-ProLine!$B$6)/LN((ProLine!B$4-ProLine!B$8)/(ProLine!B$6-ProLine!B$8)))/((75-65)/LN((75-20)/(65-20))))^E55),2)</f>
        <v>1</v>
      </c>
      <c r="G55" s="155">
        <f t="shared" si="35"/>
        <v>369</v>
      </c>
      <c r="AA55" s="161">
        <v>2601</v>
      </c>
      <c r="AB55" s="159">
        <f t="shared" si="33"/>
        <v>2477</v>
      </c>
      <c r="AC55" s="158">
        <f t="shared" si="28"/>
        <v>124</v>
      </c>
      <c r="AD55" s="158">
        <f t="shared" si="29"/>
        <v>1.050060557125555</v>
      </c>
      <c r="AE55" s="161">
        <v>4436</v>
      </c>
      <c r="AF55" s="159">
        <f t="shared" si="34"/>
        <v>4146</v>
      </c>
      <c r="AG55" s="158">
        <f t="shared" si="30"/>
        <v>290</v>
      </c>
      <c r="AH55" s="158">
        <f t="shared" si="31"/>
        <v>1.0699469368065606</v>
      </c>
    </row>
    <row r="56" spans="1:34" ht="15">
      <c r="A56" s="164" t="s">
        <v>393</v>
      </c>
      <c r="B56" s="155">
        <v>395</v>
      </c>
      <c r="C56" s="155">
        <v>420</v>
      </c>
      <c r="E56" s="155">
        <v>1.1212</v>
      </c>
      <c r="F56" s="163">
        <f>ROUND(((((ProLine!$B$4-ProLine!$B$6)/LN((ProLine!B$4-ProLine!B$8)/(ProLine!B$6-ProLine!B$8)))/((75-65)/LN((75-20)/(65-20))))^E56),2)</f>
        <v>1</v>
      </c>
      <c r="G56" s="155">
        <f t="shared" si="35"/>
        <v>420</v>
      </c>
      <c r="R56" s="176"/>
      <c r="AA56" s="161">
        <v>2796</v>
      </c>
      <c r="AB56" s="159">
        <f t="shared" si="33"/>
        <v>2663</v>
      </c>
      <c r="AC56" s="158">
        <f t="shared" si="28"/>
        <v>133</v>
      </c>
      <c r="AD56" s="158">
        <f t="shared" si="29"/>
        <v>1.049943672549756</v>
      </c>
      <c r="AE56" s="161">
        <v>4835</v>
      </c>
      <c r="AF56" s="159">
        <f t="shared" si="34"/>
        <v>4519</v>
      </c>
      <c r="AG56" s="158">
        <f t="shared" si="30"/>
        <v>316</v>
      </c>
      <c r="AH56" s="158">
        <f t="shared" si="31"/>
        <v>1.0699269749944678</v>
      </c>
    </row>
    <row r="57" spans="1:18" ht="14.25">
      <c r="A57" s="164" t="s">
        <v>394</v>
      </c>
      <c r="B57" s="155">
        <v>491</v>
      </c>
      <c r="C57" s="155">
        <v>462</v>
      </c>
      <c r="E57" s="155">
        <v>1.132</v>
      </c>
      <c r="F57" s="163">
        <f>ROUND(((((ProLine!$B$4-ProLine!$B$6)/LN((ProLine!B$4-ProLine!B$8)/(ProLine!B$6-ProLine!B$8)))/((75-65)/LN((75-20)/(65-20))))^E57),2)</f>
        <v>1</v>
      </c>
      <c r="G57" s="155">
        <f t="shared" si="35"/>
        <v>462</v>
      </c>
      <c r="R57" s="176"/>
    </row>
    <row r="58" spans="1:18" ht="14.25">
      <c r="A58" s="164" t="s">
        <v>124</v>
      </c>
      <c r="B58" s="155">
        <v>371</v>
      </c>
      <c r="C58" s="155">
        <v>521</v>
      </c>
      <c r="E58" s="155">
        <v>1.187</v>
      </c>
      <c r="F58" s="163">
        <f>ROUND(((((ProLine!$B$4-ProLine!$B$6)/LN((ProLine!B$4-ProLine!B$8)/(ProLine!B$6-ProLine!B$8)))/((75-65)/LN((75-20)/(65-20))))^E58),2)</f>
        <v>1</v>
      </c>
      <c r="G58" s="155">
        <f t="shared" si="35"/>
        <v>521</v>
      </c>
      <c r="R58" s="176"/>
    </row>
    <row r="59" spans="1:7" ht="14.25">
      <c r="A59" s="164" t="s">
        <v>125</v>
      </c>
      <c r="B59" s="155">
        <v>419</v>
      </c>
      <c r="C59" s="155">
        <v>563</v>
      </c>
      <c r="E59" s="155">
        <v>1.2097</v>
      </c>
      <c r="F59" s="163">
        <f>ROUND(((((ProLine!$B$4-ProLine!$B$6)/LN((ProLine!B$4-ProLine!B$8)/(ProLine!B$6-ProLine!B$8)))/((75-65)/LN((75-20)/(65-20))))^E59),2)</f>
        <v>1</v>
      </c>
      <c r="G59" s="155">
        <f t="shared" si="35"/>
        <v>563</v>
      </c>
    </row>
    <row r="60" spans="1:7" ht="14.25">
      <c r="A60" s="164" t="s">
        <v>126</v>
      </c>
      <c r="B60" s="155">
        <v>467</v>
      </c>
      <c r="C60" s="155">
        <v>602</v>
      </c>
      <c r="E60" s="155">
        <v>1.2323</v>
      </c>
      <c r="F60" s="163">
        <f>ROUND(((((ProLine!$B$4-ProLine!$B$6)/LN((ProLine!B$4-ProLine!B$8)/(ProLine!B$6-ProLine!B$8)))/((75-65)/LN((75-20)/(65-20))))^E60),2)</f>
        <v>1</v>
      </c>
      <c r="G60" s="155">
        <f t="shared" si="35"/>
        <v>602</v>
      </c>
    </row>
    <row r="61" spans="1:7" ht="14.25">
      <c r="A61" s="164" t="s">
        <v>127</v>
      </c>
      <c r="B61" s="155">
        <v>515</v>
      </c>
      <c r="C61" s="155">
        <v>640</v>
      </c>
      <c r="E61" s="155">
        <v>1.2285</v>
      </c>
      <c r="F61" s="163">
        <f>ROUND(((((ProLine!$B$4-ProLine!$B$6)/LN((ProLine!B$4-ProLine!B$8)/(ProLine!B$6-ProLine!B$8)))/((75-65)/LN((75-20)/(65-20))))^E61),2)</f>
        <v>1</v>
      </c>
      <c r="G61" s="155">
        <f t="shared" si="35"/>
        <v>640</v>
      </c>
    </row>
    <row r="62" spans="1:7" ht="14.25">
      <c r="A62" s="164" t="s">
        <v>128</v>
      </c>
      <c r="B62" s="155">
        <v>563</v>
      </c>
      <c r="C62" s="155">
        <v>676</v>
      </c>
      <c r="E62" s="155">
        <v>1.2246</v>
      </c>
      <c r="F62" s="163">
        <f>ROUND(((((ProLine!$B$4-ProLine!$B$6)/LN((ProLine!B$4-ProLine!B$8)/(ProLine!B$6-ProLine!B$8)))/((75-65)/LN((75-20)/(65-20))))^E62),2)</f>
        <v>1</v>
      </c>
      <c r="G62" s="155">
        <f t="shared" si="35"/>
        <v>676</v>
      </c>
    </row>
    <row r="63" spans="1:7" ht="14.25">
      <c r="A63" s="164" t="s">
        <v>129</v>
      </c>
      <c r="B63" s="155">
        <v>611</v>
      </c>
      <c r="C63" s="155">
        <v>710</v>
      </c>
      <c r="E63" s="155">
        <v>1.2256</v>
      </c>
      <c r="F63" s="163">
        <f>ROUND(((((ProLine!$B$4-ProLine!$B$6)/LN((ProLine!B$4-ProLine!B$8)/(ProLine!B$6-ProLine!B$8)))/((75-65)/LN((75-20)/(65-20))))^E63),2)</f>
        <v>1</v>
      </c>
      <c r="G63" s="155">
        <f t="shared" si="35"/>
        <v>710</v>
      </c>
    </row>
    <row r="64" spans="1:7" ht="14.25">
      <c r="A64" s="164" t="s">
        <v>130</v>
      </c>
      <c r="B64" s="155">
        <v>659</v>
      </c>
      <c r="C64" s="155">
        <v>743</v>
      </c>
      <c r="E64" s="155">
        <v>1.2266</v>
      </c>
      <c r="F64" s="163">
        <f>ROUND(((((ProLine!$B$4-ProLine!$B$6)/LN((ProLine!B$4-ProLine!B$8)/(ProLine!B$6-ProLine!B$8)))/((75-65)/LN((75-20)/(65-20))))^E64),2)</f>
        <v>1</v>
      </c>
      <c r="G64" s="155">
        <f t="shared" si="35"/>
        <v>743</v>
      </c>
    </row>
    <row r="65" spans="1:6" ht="14.25">
      <c r="A65" s="155" t="s">
        <v>30</v>
      </c>
      <c r="B65" s="155">
        <v>400</v>
      </c>
      <c r="D65" s="155" t="s">
        <v>389</v>
      </c>
      <c r="E65" s="155">
        <v>100</v>
      </c>
      <c r="F65" s="155">
        <v>1</v>
      </c>
    </row>
    <row r="66" spans="1:6" ht="14.25">
      <c r="A66" s="155" t="s">
        <v>29</v>
      </c>
      <c r="B66" s="155">
        <v>6000</v>
      </c>
      <c r="E66" s="155">
        <v>125</v>
      </c>
      <c r="F66" s="155">
        <v>1.1</v>
      </c>
    </row>
    <row r="67" spans="5:6" ht="14.25">
      <c r="E67" s="155">
        <v>150</v>
      </c>
      <c r="F67" s="155">
        <v>1.2</v>
      </c>
    </row>
    <row r="68" spans="5:6" ht="14.25">
      <c r="E68" s="155">
        <v>200</v>
      </c>
      <c r="F68" s="155">
        <v>1.3</v>
      </c>
    </row>
    <row r="69" spans="1:19" ht="14.25">
      <c r="A69" s="174" t="s">
        <v>349</v>
      </c>
      <c r="C69" s="155" t="s">
        <v>63</v>
      </c>
      <c r="E69" s="155" t="s">
        <v>31</v>
      </c>
      <c r="F69" s="162" t="s">
        <v>131</v>
      </c>
      <c r="G69" s="155" t="str">
        <f>"W/M @ "&amp;'L &amp; SkyLine'!$B$5&amp;"/"&amp;'L &amp; SkyLine'!$B$7&amp;"/"&amp;'L &amp; SkyLine'!$B$9</f>
        <v>W/M @ 75/65/25</v>
      </c>
      <c r="S69" s="174"/>
    </row>
    <row r="70" spans="1:7" ht="14.25">
      <c r="A70" s="155">
        <v>3</v>
      </c>
      <c r="C70" s="155">
        <f>A70*$G$82</f>
        <v>276</v>
      </c>
      <c r="E70" s="155">
        <v>1.1591</v>
      </c>
      <c r="F70" s="163">
        <f>ROUND((((('L &amp; SkyLine'!$B$5-'L &amp; SkyLine'!$B$7)/LN(('L &amp; SkyLine'!B$5-'L &amp; SkyLine'!B$9)/('L &amp; SkyLine'!B$7-'L &amp; SkyLine'!B$9)))/((75-65)/LN((75-20)/(65-20))))^E70),2)</f>
        <v>0.88</v>
      </c>
      <c r="G70" s="155">
        <f>ROUND(C70*F70,0)</f>
        <v>243</v>
      </c>
    </row>
    <row r="71" spans="1:7" ht="14.25">
      <c r="A71" s="155">
        <v>4</v>
      </c>
      <c r="C71" s="155">
        <f aca="true" t="shared" si="36" ref="C71:C81">A71*$G$82</f>
        <v>368</v>
      </c>
      <c r="E71" s="155">
        <v>1.1348</v>
      </c>
      <c r="F71" s="163">
        <f>ROUND((((('L &amp; SkyLine'!$B$5-'L &amp; SkyLine'!$B$7)/LN(('L &amp; SkyLine'!B$5-'L &amp; SkyLine'!B$9)/('L &amp; SkyLine'!B$7-'L &amp; SkyLine'!B$9)))/((75-65)/LN((75-20)/(65-20))))^E71),2)</f>
        <v>0.89</v>
      </c>
      <c r="G71" s="155">
        <f aca="true" t="shared" si="37" ref="G71:G81">ROUND(C71*F71,0)</f>
        <v>328</v>
      </c>
    </row>
    <row r="72" spans="1:7" ht="14.25">
      <c r="A72" s="155">
        <v>5</v>
      </c>
      <c r="C72" s="155">
        <f t="shared" si="36"/>
        <v>460</v>
      </c>
      <c r="E72" s="155">
        <v>1.1104</v>
      </c>
      <c r="F72" s="163">
        <f>ROUND((((('L &amp; SkyLine'!$B$5-'L &amp; SkyLine'!$B$7)/LN(('L &amp; SkyLine'!B$5-'L &amp; SkyLine'!B$9)/('L &amp; SkyLine'!B$7-'L &amp; SkyLine'!B$9)))/((75-65)/LN((75-20)/(65-20))))^E72),2)</f>
        <v>0.89</v>
      </c>
      <c r="G72" s="155">
        <f t="shared" si="37"/>
        <v>409</v>
      </c>
    </row>
    <row r="73" spans="1:18" ht="14.25">
      <c r="A73" s="155">
        <v>6</v>
      </c>
      <c r="C73" s="155">
        <f t="shared" si="36"/>
        <v>552</v>
      </c>
      <c r="E73" s="155">
        <v>1.1212</v>
      </c>
      <c r="F73" s="163">
        <f>ROUND((((('L &amp; SkyLine'!$B$5-'L &amp; SkyLine'!$B$7)/LN(('L &amp; SkyLine'!B$5-'L &amp; SkyLine'!B$9)/('L &amp; SkyLine'!B$7-'L &amp; SkyLine'!B$9)))/((75-65)/LN((75-20)/(65-20))))^E73),2)</f>
        <v>0.89</v>
      </c>
      <c r="G73" s="155">
        <f t="shared" si="37"/>
        <v>491</v>
      </c>
      <c r="R73" s="176"/>
    </row>
    <row r="74" spans="1:18" ht="14.25">
      <c r="A74" s="155">
        <v>7</v>
      </c>
      <c r="C74" s="155">
        <f t="shared" si="36"/>
        <v>644</v>
      </c>
      <c r="E74" s="155">
        <v>1.132</v>
      </c>
      <c r="F74" s="163">
        <f>ROUND((((('L &amp; SkyLine'!$B$5-'L &amp; SkyLine'!$B$7)/LN(('L &amp; SkyLine'!B$5-'L &amp; SkyLine'!B$9)/('L &amp; SkyLine'!B$7-'L &amp; SkyLine'!B$9)))/((75-65)/LN((75-20)/(65-20))))^E74),2)</f>
        <v>0.89</v>
      </c>
      <c r="G74" s="155">
        <f t="shared" si="37"/>
        <v>573</v>
      </c>
      <c r="R74" s="176"/>
    </row>
    <row r="75" spans="1:18" ht="14.25">
      <c r="A75" s="155">
        <v>8</v>
      </c>
      <c r="C75" s="155">
        <f t="shared" si="36"/>
        <v>736</v>
      </c>
      <c r="E75" s="155">
        <v>1.187</v>
      </c>
      <c r="F75" s="163">
        <f>ROUND((((('L &amp; SkyLine'!$B$5-'L &amp; SkyLine'!$B$7)/LN(('L &amp; SkyLine'!B$5-'L &amp; SkyLine'!B$9)/('L &amp; SkyLine'!B$7-'L &amp; SkyLine'!B$9)))/((75-65)/LN((75-20)/(65-20))))^E75),2)</f>
        <v>0.88</v>
      </c>
      <c r="G75" s="155">
        <f t="shared" si="37"/>
        <v>648</v>
      </c>
      <c r="R75" s="176"/>
    </row>
    <row r="76" spans="1:7" ht="14.25">
      <c r="A76" s="155">
        <v>9</v>
      </c>
      <c r="C76" s="155">
        <f t="shared" si="36"/>
        <v>828</v>
      </c>
      <c r="E76" s="155">
        <v>1.2097</v>
      </c>
      <c r="F76" s="163">
        <f>ROUND((((('L &amp; SkyLine'!$B$5-'L &amp; SkyLine'!$B$7)/LN(('L &amp; SkyLine'!B$5-'L &amp; SkyLine'!B$9)/('L &amp; SkyLine'!B$7-'L &amp; SkyLine'!B$9)))/((75-65)/LN((75-20)/(65-20))))^E76),2)</f>
        <v>0.88</v>
      </c>
      <c r="G76" s="155">
        <f t="shared" si="37"/>
        <v>729</v>
      </c>
    </row>
    <row r="77" spans="1:7" ht="14.25">
      <c r="A77" s="155">
        <v>10</v>
      </c>
      <c r="C77" s="155">
        <f t="shared" si="36"/>
        <v>920</v>
      </c>
      <c r="E77" s="155">
        <v>1.2323</v>
      </c>
      <c r="F77" s="163">
        <f>ROUND((((('L &amp; SkyLine'!$B$5-'L &amp; SkyLine'!$B$7)/LN(('L &amp; SkyLine'!B$5-'L &amp; SkyLine'!B$9)/('L &amp; SkyLine'!B$7-'L &amp; SkyLine'!B$9)))/((75-65)/LN((75-20)/(65-20))))^E77),2)</f>
        <v>0.88</v>
      </c>
      <c r="G77" s="155">
        <f t="shared" si="37"/>
        <v>810</v>
      </c>
    </row>
    <row r="78" spans="1:7" ht="14.25">
      <c r="A78" s="155">
        <v>11</v>
      </c>
      <c r="C78" s="155">
        <f t="shared" si="36"/>
        <v>1012</v>
      </c>
      <c r="E78" s="155">
        <v>1.2285</v>
      </c>
      <c r="F78" s="163">
        <f>ROUND((((('L &amp; SkyLine'!$B$5-'L &amp; SkyLine'!$B$7)/LN(('L &amp; SkyLine'!B$5-'L &amp; SkyLine'!B$9)/('L &amp; SkyLine'!B$7-'L &amp; SkyLine'!B$9)))/((75-65)/LN((75-20)/(65-20))))^E78),2)</f>
        <v>0.88</v>
      </c>
      <c r="G78" s="155">
        <f t="shared" si="37"/>
        <v>891</v>
      </c>
    </row>
    <row r="79" spans="1:7" ht="14.25">
      <c r="A79" s="155">
        <v>12</v>
      </c>
      <c r="C79" s="155">
        <f t="shared" si="36"/>
        <v>1104</v>
      </c>
      <c r="E79" s="155">
        <v>1.2246</v>
      </c>
      <c r="F79" s="163">
        <f>ROUND((((('L &amp; SkyLine'!$B$5-'L &amp; SkyLine'!$B$7)/LN(('L &amp; SkyLine'!B$5-'L &amp; SkyLine'!B$9)/('L &amp; SkyLine'!B$7-'L &amp; SkyLine'!B$9)))/((75-65)/LN((75-20)/(65-20))))^E79),2)</f>
        <v>0.88</v>
      </c>
      <c r="G79" s="155">
        <f t="shared" si="37"/>
        <v>972</v>
      </c>
    </row>
    <row r="80" spans="1:7" ht="14.25">
      <c r="A80" s="155">
        <v>13</v>
      </c>
      <c r="C80" s="155">
        <f t="shared" si="36"/>
        <v>1196</v>
      </c>
      <c r="E80" s="155">
        <v>1.2256</v>
      </c>
      <c r="F80" s="163">
        <f>ROUND((((('L &amp; SkyLine'!$B$5-'L &amp; SkyLine'!$B$7)/LN(('L &amp; SkyLine'!B$5-'L &amp; SkyLine'!B$9)/('L &amp; SkyLine'!B$7-'L &amp; SkyLine'!B$9)))/((75-65)/LN((75-20)/(65-20))))^E80),2)</f>
        <v>0.88</v>
      </c>
      <c r="G80" s="155">
        <f t="shared" si="37"/>
        <v>1052</v>
      </c>
    </row>
    <row r="81" spans="1:7" ht="14.25">
      <c r="A81" s="155">
        <v>14</v>
      </c>
      <c r="C81" s="155">
        <f t="shared" si="36"/>
        <v>1288</v>
      </c>
      <c r="E81" s="155">
        <v>1.2266</v>
      </c>
      <c r="F81" s="163">
        <f>ROUND((((('L &amp; SkyLine'!$B$5-'L &amp; SkyLine'!$B$7)/LN(('L &amp; SkyLine'!B$5-'L &amp; SkyLine'!B$9)/('L &amp; SkyLine'!B$7-'L &amp; SkyLine'!B$9)))/((75-65)/LN((75-20)/(65-20))))^E81),2)</f>
        <v>0.88</v>
      </c>
      <c r="G81" s="155">
        <f t="shared" si="37"/>
        <v>1133</v>
      </c>
    </row>
    <row r="82" spans="1:7" ht="14.25">
      <c r="A82" s="174" t="s">
        <v>141</v>
      </c>
      <c r="F82" s="155" t="s">
        <v>112</v>
      </c>
      <c r="G82" s="155">
        <v>92</v>
      </c>
    </row>
    <row r="83" spans="1:2" ht="14.25">
      <c r="A83" s="155" t="s">
        <v>30</v>
      </c>
      <c r="B83" s="155">
        <v>400</v>
      </c>
    </row>
    <row r="84" spans="1:2" ht="14.25">
      <c r="A84" s="155" t="s">
        <v>29</v>
      </c>
      <c r="B84" s="155">
        <v>3000</v>
      </c>
    </row>
    <row r="85" ht="14.25">
      <c r="A85" s="174"/>
    </row>
    <row r="86" ht="14.25">
      <c r="A86" s="174" t="s">
        <v>351</v>
      </c>
    </row>
    <row r="87" spans="1:19" ht="14.25">
      <c r="A87" s="155" t="s">
        <v>352</v>
      </c>
      <c r="B87" s="155" t="s">
        <v>143</v>
      </c>
      <c r="C87" s="155" t="s">
        <v>63</v>
      </c>
      <c r="E87" s="155" t="s">
        <v>31</v>
      </c>
      <c r="F87" s="162" t="s">
        <v>131</v>
      </c>
      <c r="G87" s="155" t="str">
        <f>"W/M @ "&amp;'L &amp; SkyLine'!$B$5&amp;"/"&amp;'L &amp; SkyLine'!$B$7&amp;"/"&amp;'L &amp; SkyLine'!$B$9</f>
        <v>W/M @ 75/65/25</v>
      </c>
      <c r="S87" s="174"/>
    </row>
    <row r="88" spans="1:7" ht="14.25">
      <c r="A88" s="155">
        <v>3</v>
      </c>
      <c r="C88" s="155">
        <f>A88*$G$100</f>
        <v>300</v>
      </c>
      <c r="E88" s="155">
        <v>1.1591</v>
      </c>
      <c r="F88" s="163">
        <f>ROUND((((('L &amp; SkyLine'!$B$5-'L &amp; SkyLine'!$B$7)/LN(('L &amp; SkyLine'!B$5-'L &amp; SkyLine'!B$9)/('L &amp; SkyLine'!B$7-'L &amp; SkyLine'!B$9)))/((75-65)/LN((75-20)/(65-20))))^E88),2)</f>
        <v>0.88</v>
      </c>
      <c r="G88" s="155">
        <f>ROUND(C88*F88,0)</f>
        <v>264</v>
      </c>
    </row>
    <row r="89" spans="1:7" ht="14.25">
      <c r="A89" s="155">
        <v>4</v>
      </c>
      <c r="C89" s="155">
        <f aca="true" t="shared" si="38" ref="C89:C99">A89*$G$100</f>
        <v>400</v>
      </c>
      <c r="E89" s="155">
        <v>1.1348</v>
      </c>
      <c r="F89" s="163">
        <f>ROUND((((('L &amp; SkyLine'!$B$5-'L &amp; SkyLine'!$B$7)/LN(('L &amp; SkyLine'!B$5-'L &amp; SkyLine'!B$9)/('L &amp; SkyLine'!B$7-'L &amp; SkyLine'!B$9)))/((75-65)/LN((75-20)/(65-20))))^E89),2)</f>
        <v>0.89</v>
      </c>
      <c r="G89" s="155">
        <f aca="true" t="shared" si="39" ref="G89:G99">ROUND(C89*F89,0)</f>
        <v>356</v>
      </c>
    </row>
    <row r="90" spans="1:7" ht="14.25">
      <c r="A90" s="155">
        <v>5</v>
      </c>
      <c r="C90" s="155">
        <f t="shared" si="38"/>
        <v>500</v>
      </c>
      <c r="E90" s="155">
        <v>1.1104</v>
      </c>
      <c r="F90" s="163">
        <f>ROUND((((('L &amp; SkyLine'!$B$5-'L &amp; SkyLine'!$B$7)/LN(('L &amp; SkyLine'!B$5-'L &amp; SkyLine'!B$9)/('L &amp; SkyLine'!B$7-'L &amp; SkyLine'!B$9)))/((75-65)/LN((75-20)/(65-20))))^E90),2)</f>
        <v>0.89</v>
      </c>
      <c r="G90" s="155">
        <f t="shared" si="39"/>
        <v>445</v>
      </c>
    </row>
    <row r="91" spans="1:18" ht="14.25">
      <c r="A91" s="155">
        <v>6</v>
      </c>
      <c r="C91" s="155">
        <f t="shared" si="38"/>
        <v>600</v>
      </c>
      <c r="E91" s="155">
        <v>1.1212</v>
      </c>
      <c r="F91" s="163">
        <f>ROUND((((('L &amp; SkyLine'!$B$5-'L &amp; SkyLine'!$B$7)/LN(('L &amp; SkyLine'!B$5-'L &amp; SkyLine'!B$9)/('L &amp; SkyLine'!B$7-'L &amp; SkyLine'!B$9)))/((75-65)/LN((75-20)/(65-20))))^E91),2)</f>
        <v>0.89</v>
      </c>
      <c r="G91" s="155">
        <f t="shared" si="39"/>
        <v>534</v>
      </c>
      <c r="R91" s="176"/>
    </row>
    <row r="92" spans="1:18" ht="14.25">
      <c r="A92" s="155">
        <v>7</v>
      </c>
      <c r="C92" s="155">
        <f t="shared" si="38"/>
        <v>700</v>
      </c>
      <c r="E92" s="155">
        <v>1.132</v>
      </c>
      <c r="F92" s="163">
        <f>ROUND((((('L &amp; SkyLine'!$B$5-'L &amp; SkyLine'!$B$7)/LN(('L &amp; SkyLine'!B$5-'L &amp; SkyLine'!B$9)/('L &amp; SkyLine'!B$7-'L &amp; SkyLine'!B$9)))/((75-65)/LN((75-20)/(65-20))))^E92),2)</f>
        <v>0.89</v>
      </c>
      <c r="G92" s="155">
        <f t="shared" si="39"/>
        <v>623</v>
      </c>
      <c r="R92" s="176"/>
    </row>
    <row r="93" spans="1:18" ht="14.25">
      <c r="A93" s="155">
        <v>8</v>
      </c>
      <c r="C93" s="155">
        <f t="shared" si="38"/>
        <v>800</v>
      </c>
      <c r="E93" s="155">
        <v>1.187</v>
      </c>
      <c r="F93" s="163">
        <f>ROUND((((('L &amp; SkyLine'!$B$5-'L &amp; SkyLine'!$B$7)/LN(('L &amp; SkyLine'!B$5-'L &amp; SkyLine'!B$9)/('L &amp; SkyLine'!B$7-'L &amp; SkyLine'!B$9)))/((75-65)/LN((75-20)/(65-20))))^E93),2)</f>
        <v>0.88</v>
      </c>
      <c r="G93" s="155">
        <f t="shared" si="39"/>
        <v>704</v>
      </c>
      <c r="R93" s="176"/>
    </row>
    <row r="94" spans="1:7" ht="14.25">
      <c r="A94" s="155">
        <v>9</v>
      </c>
      <c r="C94" s="155">
        <f t="shared" si="38"/>
        <v>900</v>
      </c>
      <c r="E94" s="155">
        <v>1.2097</v>
      </c>
      <c r="F94" s="163">
        <f>ROUND((((('L &amp; SkyLine'!$B$5-'L &amp; SkyLine'!$B$7)/LN(('L &amp; SkyLine'!B$5-'L &amp; SkyLine'!B$9)/('L &amp; SkyLine'!B$7-'L &amp; SkyLine'!B$9)))/((75-65)/LN((75-20)/(65-20))))^E94),2)</f>
        <v>0.88</v>
      </c>
      <c r="G94" s="155">
        <f t="shared" si="39"/>
        <v>792</v>
      </c>
    </row>
    <row r="95" spans="1:7" ht="14.25">
      <c r="A95" s="155">
        <v>10</v>
      </c>
      <c r="C95" s="155">
        <f t="shared" si="38"/>
        <v>1000</v>
      </c>
      <c r="E95" s="155">
        <v>1.2323</v>
      </c>
      <c r="F95" s="163">
        <f>ROUND((((('L &amp; SkyLine'!$B$5-'L &amp; SkyLine'!$B$7)/LN(('L &amp; SkyLine'!B$5-'L &amp; SkyLine'!B$9)/('L &amp; SkyLine'!B$7-'L &amp; SkyLine'!B$9)))/((75-65)/LN((75-20)/(65-20))))^E95),2)</f>
        <v>0.88</v>
      </c>
      <c r="G95" s="155">
        <f t="shared" si="39"/>
        <v>880</v>
      </c>
    </row>
    <row r="96" spans="1:7" ht="14.25">
      <c r="A96" s="155">
        <v>11</v>
      </c>
      <c r="C96" s="155">
        <f t="shared" si="38"/>
        <v>1100</v>
      </c>
      <c r="E96" s="155">
        <v>1.2285</v>
      </c>
      <c r="F96" s="163">
        <f>ROUND((((('L &amp; SkyLine'!$B$5-'L &amp; SkyLine'!$B$7)/LN(('L &amp; SkyLine'!B$5-'L &amp; SkyLine'!B$9)/('L &amp; SkyLine'!B$7-'L &amp; SkyLine'!B$9)))/((75-65)/LN((75-20)/(65-20))))^E96),2)</f>
        <v>0.88</v>
      </c>
      <c r="G96" s="155">
        <f t="shared" si="39"/>
        <v>968</v>
      </c>
    </row>
    <row r="97" spans="1:7" ht="14.25">
      <c r="A97" s="155">
        <v>12</v>
      </c>
      <c r="C97" s="155">
        <f t="shared" si="38"/>
        <v>1200</v>
      </c>
      <c r="E97" s="155">
        <v>1.2246</v>
      </c>
      <c r="F97" s="163">
        <f>ROUND((((('L &amp; SkyLine'!$B$5-'L &amp; SkyLine'!$B$7)/LN(('L &amp; SkyLine'!B$5-'L &amp; SkyLine'!B$9)/('L &amp; SkyLine'!B$7-'L &amp; SkyLine'!B$9)))/((75-65)/LN((75-20)/(65-20))))^E97),2)</f>
        <v>0.88</v>
      </c>
      <c r="G97" s="155">
        <f t="shared" si="39"/>
        <v>1056</v>
      </c>
    </row>
    <row r="98" spans="1:7" ht="14.25">
      <c r="A98" s="155">
        <v>13</v>
      </c>
      <c r="C98" s="155">
        <f t="shared" si="38"/>
        <v>1300</v>
      </c>
      <c r="E98" s="155">
        <v>1.2256</v>
      </c>
      <c r="F98" s="163">
        <f>ROUND((((('L &amp; SkyLine'!$B$5-'L &amp; SkyLine'!$B$7)/LN(('L &amp; SkyLine'!B$5-'L &amp; SkyLine'!B$9)/('L &amp; SkyLine'!B$7-'L &amp; SkyLine'!B$9)))/((75-65)/LN((75-20)/(65-20))))^E98),2)</f>
        <v>0.88</v>
      </c>
      <c r="G98" s="155">
        <f t="shared" si="39"/>
        <v>1144</v>
      </c>
    </row>
    <row r="99" spans="1:7" ht="14.25">
      <c r="A99" s="155">
        <v>14</v>
      </c>
      <c r="C99" s="155">
        <f t="shared" si="38"/>
        <v>1400</v>
      </c>
      <c r="E99" s="155">
        <v>1.2266</v>
      </c>
      <c r="F99" s="163">
        <f>ROUND((((('L &amp; SkyLine'!$B$5-'L &amp; SkyLine'!$B$7)/LN(('L &amp; SkyLine'!B$5-'L &amp; SkyLine'!B$9)/('L &amp; SkyLine'!B$7-'L &amp; SkyLine'!B$9)))/((75-65)/LN((75-20)/(65-20))))^E99),2)</f>
        <v>0.88</v>
      </c>
      <c r="G99" s="155">
        <f t="shared" si="39"/>
        <v>1232</v>
      </c>
    </row>
    <row r="100" spans="1:7" ht="14.25">
      <c r="A100" s="174" t="s">
        <v>142</v>
      </c>
      <c r="F100" s="155" t="s">
        <v>112</v>
      </c>
      <c r="G100" s="155">
        <v>100</v>
      </c>
    </row>
    <row r="101" spans="1:2" ht="14.25">
      <c r="A101" s="155" t="s">
        <v>30</v>
      </c>
      <c r="B101" s="155">
        <v>400</v>
      </c>
    </row>
    <row r="102" spans="1:2" ht="14.25">
      <c r="A102" s="155" t="s">
        <v>29</v>
      </c>
      <c r="B102" s="155">
        <v>6000</v>
      </c>
    </row>
    <row r="103" ht="14.25">
      <c r="A103" s="164"/>
    </row>
    <row r="105" spans="1:14" ht="14.25">
      <c r="A105" s="155" t="s">
        <v>165</v>
      </c>
      <c r="B105" s="155" t="s">
        <v>154</v>
      </c>
      <c r="C105" s="155" t="s">
        <v>155</v>
      </c>
      <c r="D105" s="155" t="s">
        <v>156</v>
      </c>
      <c r="E105" s="155" t="s">
        <v>157</v>
      </c>
      <c r="F105" s="155" t="s">
        <v>158</v>
      </c>
      <c r="G105" s="155" t="s">
        <v>159</v>
      </c>
      <c r="H105" s="155" t="s">
        <v>160</v>
      </c>
      <c r="I105" s="155" t="s">
        <v>161</v>
      </c>
      <c r="J105" s="155" t="s">
        <v>162</v>
      </c>
      <c r="K105" s="155" t="s">
        <v>163</v>
      </c>
      <c r="L105" s="155" t="s">
        <v>164</v>
      </c>
      <c r="N105" s="155" t="s">
        <v>166</v>
      </c>
    </row>
    <row r="106" spans="1:14" ht="14.25">
      <c r="A106" s="155" t="s">
        <v>167</v>
      </c>
      <c r="B106" s="155">
        <v>80</v>
      </c>
      <c r="C106" s="155">
        <v>109</v>
      </c>
      <c r="D106" s="155">
        <v>137</v>
      </c>
      <c r="E106" s="155">
        <v>166</v>
      </c>
      <c r="F106" s="155">
        <v>195</v>
      </c>
      <c r="G106" s="155">
        <v>225</v>
      </c>
      <c r="H106" s="155">
        <v>256</v>
      </c>
      <c r="I106" s="155">
        <v>286</v>
      </c>
      <c r="J106" s="155">
        <v>317</v>
      </c>
      <c r="K106" s="155">
        <v>349</v>
      </c>
      <c r="L106" s="155">
        <v>382</v>
      </c>
      <c r="N106" s="155">
        <v>90</v>
      </c>
    </row>
    <row r="107" spans="1:14" ht="14.25">
      <c r="A107" s="155" t="s">
        <v>168</v>
      </c>
      <c r="B107" s="155">
        <v>100</v>
      </c>
      <c r="C107" s="155">
        <v>133</v>
      </c>
      <c r="D107" s="155">
        <v>165</v>
      </c>
      <c r="E107" s="155">
        <v>197</v>
      </c>
      <c r="F107" s="155">
        <v>229</v>
      </c>
      <c r="G107" s="155">
        <v>260</v>
      </c>
      <c r="H107" s="155">
        <v>292</v>
      </c>
      <c r="I107" s="155">
        <v>324</v>
      </c>
      <c r="J107" s="155">
        <v>356</v>
      </c>
      <c r="K107" s="155">
        <v>387</v>
      </c>
      <c r="L107" s="155">
        <v>424</v>
      </c>
      <c r="N107" s="155">
        <f>N106-5</f>
        <v>85</v>
      </c>
    </row>
    <row r="108" spans="1:14" ht="14.25">
      <c r="A108" s="155" t="s">
        <v>169</v>
      </c>
      <c r="B108" s="155">
        <v>68</v>
      </c>
      <c r="C108" s="155">
        <v>99</v>
      </c>
      <c r="D108" s="155">
        <v>131</v>
      </c>
      <c r="E108" s="155">
        <v>166</v>
      </c>
      <c r="F108" s="155">
        <v>203</v>
      </c>
      <c r="G108" s="155">
        <v>241</v>
      </c>
      <c r="H108" s="155">
        <v>280</v>
      </c>
      <c r="I108" s="155">
        <v>322</v>
      </c>
      <c r="J108" s="155">
        <v>366</v>
      </c>
      <c r="K108" s="155">
        <v>412</v>
      </c>
      <c r="L108" s="155">
        <v>458</v>
      </c>
      <c r="N108" s="155">
        <f aca="true" t="shared" si="40" ref="N108:N118">N107-5</f>
        <v>80</v>
      </c>
    </row>
    <row r="109" spans="1:14" ht="14.25">
      <c r="A109" s="155" t="s">
        <v>170</v>
      </c>
      <c r="B109" s="155">
        <v>56</v>
      </c>
      <c r="C109" s="155">
        <v>87</v>
      </c>
      <c r="D109" s="155">
        <v>121</v>
      </c>
      <c r="E109" s="155">
        <v>159</v>
      </c>
      <c r="F109" s="155">
        <v>200</v>
      </c>
      <c r="G109" s="155">
        <v>246</v>
      </c>
      <c r="H109" s="155">
        <v>294</v>
      </c>
      <c r="I109" s="155">
        <v>347</v>
      </c>
      <c r="J109" s="155">
        <v>402</v>
      </c>
      <c r="K109" s="155">
        <v>463</v>
      </c>
      <c r="L109" s="155">
        <v>523</v>
      </c>
      <c r="N109" s="155">
        <f t="shared" si="40"/>
        <v>75</v>
      </c>
    </row>
    <row r="110" spans="1:14" ht="14.25">
      <c r="A110" s="155" t="s">
        <v>171</v>
      </c>
      <c r="B110" s="155">
        <v>66</v>
      </c>
      <c r="C110" s="155">
        <v>99</v>
      </c>
      <c r="D110" s="155">
        <v>135</v>
      </c>
      <c r="E110" s="155">
        <v>175</v>
      </c>
      <c r="F110" s="155">
        <v>217</v>
      </c>
      <c r="G110" s="155">
        <v>262</v>
      </c>
      <c r="H110" s="155">
        <v>309</v>
      </c>
      <c r="I110" s="155">
        <v>360</v>
      </c>
      <c r="J110" s="155">
        <v>413</v>
      </c>
      <c r="K110" s="155">
        <v>470</v>
      </c>
      <c r="L110" s="155">
        <v>530</v>
      </c>
      <c r="N110" s="155">
        <f t="shared" si="40"/>
        <v>70</v>
      </c>
    </row>
    <row r="111" spans="1:14" ht="14.25">
      <c r="A111" s="155" t="s">
        <v>172</v>
      </c>
      <c r="B111" s="155">
        <v>83</v>
      </c>
      <c r="C111" s="155">
        <v>123</v>
      </c>
      <c r="D111" s="155">
        <v>165</v>
      </c>
      <c r="E111" s="155">
        <v>210</v>
      </c>
      <c r="F111" s="155">
        <v>258</v>
      </c>
      <c r="G111" s="155">
        <v>310</v>
      </c>
      <c r="H111" s="155">
        <v>361</v>
      </c>
      <c r="I111" s="155">
        <v>418</v>
      </c>
      <c r="J111" s="155">
        <v>476</v>
      </c>
      <c r="K111" s="155">
        <v>535</v>
      </c>
      <c r="L111" s="155">
        <v>603</v>
      </c>
      <c r="N111" s="155">
        <f t="shared" si="40"/>
        <v>65</v>
      </c>
    </row>
    <row r="112" spans="1:14" ht="14.25">
      <c r="A112" s="155" t="s">
        <v>173</v>
      </c>
      <c r="B112" s="155">
        <v>108</v>
      </c>
      <c r="C112" s="155">
        <v>156</v>
      </c>
      <c r="D112" s="155">
        <v>205</v>
      </c>
      <c r="E112" s="155">
        <v>257</v>
      </c>
      <c r="F112" s="155">
        <v>312</v>
      </c>
      <c r="G112" s="155">
        <v>368</v>
      </c>
      <c r="H112" s="155">
        <v>428</v>
      </c>
      <c r="I112" s="155">
        <v>489</v>
      </c>
      <c r="J112" s="155">
        <v>552</v>
      </c>
      <c r="K112" s="155">
        <v>621</v>
      </c>
      <c r="L112" s="155">
        <v>690</v>
      </c>
      <c r="N112" s="155">
        <f t="shared" si="40"/>
        <v>60</v>
      </c>
    </row>
    <row r="113" spans="1:14" ht="14.25">
      <c r="A113" s="155" t="s">
        <v>174</v>
      </c>
      <c r="B113" s="155">
        <v>167</v>
      </c>
      <c r="C113" s="155">
        <v>229</v>
      </c>
      <c r="D113" s="155">
        <v>292</v>
      </c>
      <c r="E113" s="155">
        <v>353</v>
      </c>
      <c r="F113" s="155">
        <v>418</v>
      </c>
      <c r="G113" s="155">
        <v>482</v>
      </c>
      <c r="H113" s="155">
        <v>548</v>
      </c>
      <c r="I113" s="155">
        <v>617</v>
      </c>
      <c r="J113" s="155">
        <v>684</v>
      </c>
      <c r="K113" s="155">
        <v>752</v>
      </c>
      <c r="L113" s="155">
        <v>825</v>
      </c>
      <c r="N113" s="155">
        <f t="shared" si="40"/>
        <v>55</v>
      </c>
    </row>
    <row r="114" spans="1:14" ht="14.25">
      <c r="A114" s="155" t="s">
        <v>175</v>
      </c>
      <c r="B114" s="155">
        <v>77</v>
      </c>
      <c r="C114" s="155">
        <v>105</v>
      </c>
      <c r="D114" s="155">
        <v>133</v>
      </c>
      <c r="E114" s="155">
        <v>161</v>
      </c>
      <c r="F114" s="155">
        <v>190</v>
      </c>
      <c r="G114" s="155">
        <v>219</v>
      </c>
      <c r="H114" s="155">
        <v>248</v>
      </c>
      <c r="I114" s="155">
        <v>279</v>
      </c>
      <c r="J114" s="155">
        <v>311</v>
      </c>
      <c r="K114" s="155">
        <v>341</v>
      </c>
      <c r="N114" s="155">
        <f t="shared" si="40"/>
        <v>50</v>
      </c>
    </row>
    <row r="115" spans="1:14" ht="14.25">
      <c r="A115" s="155" t="s">
        <v>176</v>
      </c>
      <c r="B115" s="155">
        <v>96</v>
      </c>
      <c r="C115" s="155">
        <v>128</v>
      </c>
      <c r="D115" s="155">
        <v>159</v>
      </c>
      <c r="E115" s="155">
        <v>190</v>
      </c>
      <c r="F115" s="155">
        <v>220</v>
      </c>
      <c r="G115" s="155">
        <v>251</v>
      </c>
      <c r="H115" s="155">
        <v>283</v>
      </c>
      <c r="I115" s="155">
        <v>316</v>
      </c>
      <c r="J115" s="155">
        <v>346</v>
      </c>
      <c r="K115" s="155">
        <v>379</v>
      </c>
      <c r="N115" s="155">
        <f t="shared" si="40"/>
        <v>45</v>
      </c>
    </row>
    <row r="116" spans="1:14" ht="14.25">
      <c r="A116" s="155" t="s">
        <v>177</v>
      </c>
      <c r="B116" s="155">
        <v>66</v>
      </c>
      <c r="C116" s="155">
        <v>97</v>
      </c>
      <c r="D116" s="155">
        <v>129</v>
      </c>
      <c r="E116" s="155">
        <v>164</v>
      </c>
      <c r="F116" s="155">
        <v>200</v>
      </c>
      <c r="G116" s="155">
        <v>238</v>
      </c>
      <c r="H116" s="155">
        <v>280</v>
      </c>
      <c r="I116" s="155">
        <v>322</v>
      </c>
      <c r="J116" s="155">
        <v>366</v>
      </c>
      <c r="K116" s="155">
        <v>412</v>
      </c>
      <c r="N116" s="155">
        <f t="shared" si="40"/>
        <v>40</v>
      </c>
    </row>
    <row r="117" spans="1:14" ht="14.25">
      <c r="A117" s="155" t="s">
        <v>178</v>
      </c>
      <c r="B117" s="155">
        <v>55</v>
      </c>
      <c r="C117" s="155">
        <v>86</v>
      </c>
      <c r="D117" s="155">
        <v>120</v>
      </c>
      <c r="E117" s="155">
        <v>159</v>
      </c>
      <c r="F117" s="155">
        <v>201</v>
      </c>
      <c r="G117" s="155">
        <v>247</v>
      </c>
      <c r="H117" s="155">
        <v>296</v>
      </c>
      <c r="I117" s="155">
        <v>350</v>
      </c>
      <c r="J117" s="155">
        <v>407</v>
      </c>
      <c r="K117" s="155">
        <v>468</v>
      </c>
      <c r="N117" s="155">
        <f t="shared" si="40"/>
        <v>35</v>
      </c>
    </row>
    <row r="118" spans="1:14" ht="14.25">
      <c r="A118" s="155" t="s">
        <v>179</v>
      </c>
      <c r="B118" s="155">
        <v>64</v>
      </c>
      <c r="C118" s="155">
        <v>97</v>
      </c>
      <c r="D118" s="155">
        <v>134</v>
      </c>
      <c r="E118" s="155">
        <v>173</v>
      </c>
      <c r="F118" s="155">
        <v>216</v>
      </c>
      <c r="G118" s="155">
        <v>260</v>
      </c>
      <c r="H118" s="155">
        <v>309</v>
      </c>
      <c r="I118" s="155">
        <v>360</v>
      </c>
      <c r="J118" s="155">
        <v>413</v>
      </c>
      <c r="K118" s="155">
        <v>470</v>
      </c>
      <c r="N118" s="155">
        <f t="shared" si="40"/>
        <v>30</v>
      </c>
    </row>
    <row r="119" spans="1:14" ht="14.25">
      <c r="A119" s="155" t="s">
        <v>180</v>
      </c>
      <c r="B119" s="155">
        <v>81</v>
      </c>
      <c r="C119" s="155">
        <v>120</v>
      </c>
      <c r="D119" s="155">
        <v>162</v>
      </c>
      <c r="E119" s="155">
        <v>207</v>
      </c>
      <c r="F119" s="155">
        <v>255</v>
      </c>
      <c r="G119" s="155">
        <v>306</v>
      </c>
      <c r="H119" s="155">
        <v>361</v>
      </c>
      <c r="I119" s="155">
        <v>418</v>
      </c>
      <c r="J119" s="155">
        <v>476</v>
      </c>
      <c r="K119" s="155">
        <v>535</v>
      </c>
      <c r="N119" s="155">
        <v>25</v>
      </c>
    </row>
    <row r="120" spans="1:14" ht="14.25">
      <c r="A120" s="155" t="s">
        <v>181</v>
      </c>
      <c r="B120" s="155">
        <v>105</v>
      </c>
      <c r="C120" s="155">
        <v>151</v>
      </c>
      <c r="D120" s="155">
        <v>200</v>
      </c>
      <c r="E120" s="155">
        <v>251</v>
      </c>
      <c r="F120" s="155">
        <v>305</v>
      </c>
      <c r="G120" s="155">
        <v>361</v>
      </c>
      <c r="H120" s="155">
        <v>422</v>
      </c>
      <c r="I120" s="155">
        <v>485</v>
      </c>
      <c r="J120" s="155">
        <v>547</v>
      </c>
      <c r="K120" s="155">
        <v>614</v>
      </c>
      <c r="N120" s="155">
        <v>20</v>
      </c>
    </row>
    <row r="121" spans="1:11" ht="14.25">
      <c r="A121" s="155" t="s">
        <v>182</v>
      </c>
      <c r="B121" s="155">
        <v>160</v>
      </c>
      <c r="C121" s="155">
        <v>220</v>
      </c>
      <c r="D121" s="155">
        <v>280</v>
      </c>
      <c r="E121" s="155">
        <v>341</v>
      </c>
      <c r="F121" s="155">
        <v>403</v>
      </c>
      <c r="G121" s="155">
        <v>466</v>
      </c>
      <c r="H121" s="155">
        <v>531</v>
      </c>
      <c r="I121" s="155">
        <v>600</v>
      </c>
      <c r="J121" s="155">
        <v>665</v>
      </c>
      <c r="K121" s="155">
        <v>736</v>
      </c>
    </row>
    <row r="122" spans="1:10" ht="14.25">
      <c r="A122" s="155" t="s">
        <v>183</v>
      </c>
      <c r="B122" s="155">
        <v>73</v>
      </c>
      <c r="C122" s="155">
        <v>100</v>
      </c>
      <c r="D122" s="155">
        <v>128</v>
      </c>
      <c r="E122" s="155">
        <v>156</v>
      </c>
      <c r="F122" s="155">
        <v>184</v>
      </c>
      <c r="G122" s="155">
        <v>213</v>
      </c>
      <c r="H122" s="155">
        <v>242</v>
      </c>
      <c r="I122" s="155">
        <v>271</v>
      </c>
      <c r="J122" s="155">
        <v>302</v>
      </c>
    </row>
    <row r="123" spans="1:10" ht="14.25">
      <c r="A123" s="155" t="s">
        <v>184</v>
      </c>
      <c r="B123" s="155">
        <v>91</v>
      </c>
      <c r="C123" s="155">
        <v>122</v>
      </c>
      <c r="D123" s="155">
        <v>153</v>
      </c>
      <c r="E123" s="155">
        <v>182</v>
      </c>
      <c r="F123" s="155">
        <v>212</v>
      </c>
      <c r="G123" s="155">
        <v>243</v>
      </c>
      <c r="H123" s="155">
        <v>274</v>
      </c>
      <c r="I123" s="155">
        <v>305</v>
      </c>
      <c r="J123" s="155">
        <v>336</v>
      </c>
    </row>
    <row r="124" spans="1:10" ht="14.25">
      <c r="A124" s="155" t="s">
        <v>185</v>
      </c>
      <c r="B124" s="155">
        <v>64</v>
      </c>
      <c r="C124" s="155">
        <v>95</v>
      </c>
      <c r="D124" s="155">
        <v>127</v>
      </c>
      <c r="E124" s="155">
        <v>162</v>
      </c>
      <c r="F124" s="155">
        <v>198</v>
      </c>
      <c r="G124" s="155">
        <v>237</v>
      </c>
      <c r="H124" s="155">
        <v>278</v>
      </c>
      <c r="I124" s="155">
        <v>322</v>
      </c>
      <c r="J124" s="155">
        <v>366</v>
      </c>
    </row>
    <row r="125" spans="1:10" ht="14.25">
      <c r="A125" s="155" t="s">
        <v>186</v>
      </c>
      <c r="B125" s="155">
        <v>54</v>
      </c>
      <c r="C125" s="155">
        <v>85</v>
      </c>
      <c r="D125" s="155">
        <v>120</v>
      </c>
      <c r="E125" s="155">
        <v>159</v>
      </c>
      <c r="F125" s="155">
        <v>201</v>
      </c>
      <c r="G125" s="155">
        <v>249</v>
      </c>
      <c r="H125" s="155">
        <v>298</v>
      </c>
      <c r="I125" s="155">
        <v>353</v>
      </c>
      <c r="J125" s="155">
        <v>411</v>
      </c>
    </row>
    <row r="126" spans="1:10" ht="14.25">
      <c r="A126" s="155" t="s">
        <v>187</v>
      </c>
      <c r="B126" s="155">
        <v>63</v>
      </c>
      <c r="C126" s="155">
        <v>96</v>
      </c>
      <c r="D126" s="155">
        <v>132</v>
      </c>
      <c r="E126" s="155">
        <v>171</v>
      </c>
      <c r="F126" s="155">
        <v>214</v>
      </c>
      <c r="G126" s="155">
        <v>260</v>
      </c>
      <c r="H126" s="155">
        <v>309</v>
      </c>
      <c r="I126" s="155">
        <v>360</v>
      </c>
      <c r="J126" s="155">
        <v>418</v>
      </c>
    </row>
    <row r="127" spans="1:10" ht="14.25">
      <c r="A127" s="155" t="s">
        <v>188</v>
      </c>
      <c r="B127" s="155">
        <v>79</v>
      </c>
      <c r="C127" s="155">
        <v>118</v>
      </c>
      <c r="D127" s="155">
        <v>160</v>
      </c>
      <c r="E127" s="155">
        <v>205</v>
      </c>
      <c r="F127" s="155">
        <v>254</v>
      </c>
      <c r="G127" s="155">
        <v>304</v>
      </c>
      <c r="H127" s="155">
        <v>358</v>
      </c>
      <c r="I127" s="155">
        <v>414</v>
      </c>
      <c r="J127" s="155">
        <v>476</v>
      </c>
    </row>
    <row r="128" spans="1:10" ht="14.25">
      <c r="A128" s="155" t="s">
        <v>189</v>
      </c>
      <c r="B128" s="155">
        <v>101</v>
      </c>
      <c r="C128" s="155">
        <v>147</v>
      </c>
      <c r="D128" s="155">
        <v>196</v>
      </c>
      <c r="E128" s="155">
        <v>247</v>
      </c>
      <c r="F128" s="155">
        <v>300</v>
      </c>
      <c r="G128" s="155">
        <v>357</v>
      </c>
      <c r="H128" s="155">
        <v>416</v>
      </c>
      <c r="I128" s="155">
        <v>476</v>
      </c>
      <c r="J128" s="155">
        <v>542</v>
      </c>
    </row>
    <row r="129" spans="1:10" ht="14.25">
      <c r="A129" s="155" t="s">
        <v>190</v>
      </c>
      <c r="B129" s="155">
        <v>152</v>
      </c>
      <c r="C129" s="155">
        <v>210</v>
      </c>
      <c r="D129" s="155">
        <v>269</v>
      </c>
      <c r="E129" s="155">
        <v>328</v>
      </c>
      <c r="F129" s="155">
        <v>389</v>
      </c>
      <c r="G129" s="155">
        <v>450</v>
      </c>
      <c r="H129" s="155">
        <v>515</v>
      </c>
      <c r="I129" s="155">
        <v>580</v>
      </c>
      <c r="J129" s="155">
        <v>646</v>
      </c>
    </row>
    <row r="130" spans="1:9" ht="14.25">
      <c r="A130" s="155" t="s">
        <v>191</v>
      </c>
      <c r="B130" s="155">
        <v>70</v>
      </c>
      <c r="C130" s="155">
        <v>97</v>
      </c>
      <c r="D130" s="155">
        <v>123</v>
      </c>
      <c r="E130" s="155">
        <v>151</v>
      </c>
      <c r="F130" s="155">
        <v>179</v>
      </c>
      <c r="G130" s="155">
        <v>206</v>
      </c>
      <c r="H130" s="155">
        <v>235</v>
      </c>
      <c r="I130" s="155">
        <v>265</v>
      </c>
    </row>
    <row r="131" spans="1:9" ht="14.25">
      <c r="A131" s="155" t="s">
        <v>192</v>
      </c>
      <c r="B131" s="155">
        <v>86</v>
      </c>
      <c r="C131" s="155">
        <v>116</v>
      </c>
      <c r="D131" s="155">
        <v>146</v>
      </c>
      <c r="E131" s="155">
        <v>175</v>
      </c>
      <c r="F131" s="155">
        <v>205</v>
      </c>
      <c r="G131" s="155">
        <v>235</v>
      </c>
      <c r="H131" s="155">
        <v>264</v>
      </c>
      <c r="I131" s="155">
        <v>295</v>
      </c>
    </row>
    <row r="132" spans="1:9" ht="14.25">
      <c r="A132" s="155" t="s">
        <v>193</v>
      </c>
      <c r="B132" s="155">
        <v>62</v>
      </c>
      <c r="C132" s="155">
        <v>92</v>
      </c>
      <c r="D132" s="155">
        <v>125</v>
      </c>
      <c r="E132" s="155">
        <v>160</v>
      </c>
      <c r="F132" s="155">
        <v>196</v>
      </c>
      <c r="G132" s="155">
        <v>235</v>
      </c>
      <c r="H132" s="155">
        <v>276</v>
      </c>
      <c r="I132" s="155">
        <v>319</v>
      </c>
    </row>
    <row r="133" spans="1:9" ht="14.25">
      <c r="A133" s="155" t="s">
        <v>194</v>
      </c>
      <c r="B133" s="155">
        <v>53</v>
      </c>
      <c r="C133" s="155">
        <v>84</v>
      </c>
      <c r="D133" s="155">
        <v>119</v>
      </c>
      <c r="E133" s="155">
        <v>159</v>
      </c>
      <c r="F133" s="155">
        <v>203</v>
      </c>
      <c r="G133" s="155">
        <v>250</v>
      </c>
      <c r="H133" s="155">
        <v>303</v>
      </c>
      <c r="I133" s="155">
        <v>359</v>
      </c>
    </row>
    <row r="134" spans="1:9" ht="14.25">
      <c r="A134" s="155" t="s">
        <v>195</v>
      </c>
      <c r="B134" s="155">
        <v>61</v>
      </c>
      <c r="C134" s="155">
        <v>94</v>
      </c>
      <c r="D134" s="155">
        <v>130</v>
      </c>
      <c r="E134" s="155">
        <v>170</v>
      </c>
      <c r="F134" s="155">
        <v>213</v>
      </c>
      <c r="G134" s="155">
        <v>260</v>
      </c>
      <c r="H134" s="155">
        <v>309</v>
      </c>
      <c r="I134" s="155">
        <v>363</v>
      </c>
    </row>
    <row r="135" spans="1:9" ht="14.25">
      <c r="A135" s="155" t="s">
        <v>196</v>
      </c>
      <c r="B135" s="155">
        <v>77</v>
      </c>
      <c r="C135" s="155">
        <v>115</v>
      </c>
      <c r="D135" s="155">
        <v>157</v>
      </c>
      <c r="E135" s="155">
        <v>202</v>
      </c>
      <c r="F135" s="155">
        <v>251</v>
      </c>
      <c r="G135" s="155">
        <v>302</v>
      </c>
      <c r="H135" s="155">
        <v>358</v>
      </c>
      <c r="I135" s="155">
        <v>414</v>
      </c>
    </row>
    <row r="136" spans="1:9" ht="14.25">
      <c r="A136" s="155" t="s">
        <v>197</v>
      </c>
      <c r="B136" s="155">
        <v>97</v>
      </c>
      <c r="C136" s="155">
        <v>142</v>
      </c>
      <c r="D136" s="155">
        <v>190</v>
      </c>
      <c r="E136" s="155">
        <v>242</v>
      </c>
      <c r="F136" s="155">
        <v>294</v>
      </c>
      <c r="G136" s="155">
        <v>350</v>
      </c>
      <c r="H136" s="155">
        <v>409</v>
      </c>
      <c r="I136" s="155">
        <v>472</v>
      </c>
    </row>
    <row r="137" spans="1:9" ht="14.25">
      <c r="A137" s="155" t="s">
        <v>198</v>
      </c>
      <c r="B137" s="155">
        <v>144</v>
      </c>
      <c r="C137" s="155">
        <v>200</v>
      </c>
      <c r="D137" s="155">
        <v>258</v>
      </c>
      <c r="E137" s="155">
        <v>316</v>
      </c>
      <c r="F137" s="155">
        <v>374</v>
      </c>
      <c r="G137" s="155">
        <v>436</v>
      </c>
      <c r="H137" s="155">
        <v>500</v>
      </c>
      <c r="I137" s="155">
        <v>561</v>
      </c>
    </row>
    <row r="138" spans="1:8" ht="14.25">
      <c r="A138" s="155" t="s">
        <v>199</v>
      </c>
      <c r="B138" s="155">
        <v>67</v>
      </c>
      <c r="C138" s="155">
        <v>92</v>
      </c>
      <c r="D138" s="155">
        <v>118</v>
      </c>
      <c r="E138" s="155">
        <v>145</v>
      </c>
      <c r="F138" s="155">
        <v>173</v>
      </c>
      <c r="G138" s="155">
        <v>201</v>
      </c>
      <c r="H138" s="155">
        <v>229</v>
      </c>
    </row>
    <row r="139" spans="1:8" ht="14.25">
      <c r="A139" s="155" t="s">
        <v>200</v>
      </c>
      <c r="B139" s="155">
        <v>82</v>
      </c>
      <c r="C139" s="155">
        <v>111</v>
      </c>
      <c r="D139" s="155">
        <v>139</v>
      </c>
      <c r="E139" s="155">
        <v>168</v>
      </c>
      <c r="F139" s="155">
        <v>196</v>
      </c>
      <c r="G139" s="155">
        <v>226</v>
      </c>
      <c r="H139" s="155">
        <v>255</v>
      </c>
    </row>
    <row r="140" spans="1:8" ht="14.25">
      <c r="A140" s="155" t="s">
        <v>201</v>
      </c>
      <c r="B140" s="155">
        <v>60</v>
      </c>
      <c r="C140" s="155">
        <v>90</v>
      </c>
      <c r="D140" s="155">
        <v>123</v>
      </c>
      <c r="E140" s="155">
        <v>158</v>
      </c>
      <c r="F140" s="155">
        <v>194</v>
      </c>
      <c r="G140" s="155">
        <v>234</v>
      </c>
      <c r="H140" s="155">
        <v>276</v>
      </c>
    </row>
    <row r="141" spans="1:8" ht="14.25">
      <c r="A141" s="155" t="s">
        <v>202</v>
      </c>
      <c r="B141" s="155">
        <v>52</v>
      </c>
      <c r="C141" s="155">
        <v>83</v>
      </c>
      <c r="D141" s="155">
        <v>119</v>
      </c>
      <c r="E141" s="155">
        <v>159</v>
      </c>
      <c r="F141" s="155">
        <v>205</v>
      </c>
      <c r="G141" s="155">
        <v>253</v>
      </c>
      <c r="H141" s="155">
        <v>307</v>
      </c>
    </row>
    <row r="142" spans="1:8" ht="14.25">
      <c r="A142" s="155" t="s">
        <v>203</v>
      </c>
      <c r="B142" s="155">
        <v>60</v>
      </c>
      <c r="C142" s="155">
        <v>92</v>
      </c>
      <c r="D142" s="155">
        <v>129</v>
      </c>
      <c r="E142" s="155">
        <v>169</v>
      </c>
      <c r="F142" s="155">
        <v>212</v>
      </c>
      <c r="G142" s="155">
        <v>260</v>
      </c>
      <c r="H142" s="155">
        <v>311</v>
      </c>
    </row>
    <row r="143" spans="1:8" ht="14.25">
      <c r="A143" s="155" t="s">
        <v>204</v>
      </c>
      <c r="B143" s="155">
        <v>74</v>
      </c>
      <c r="C143" s="155">
        <v>113</v>
      </c>
      <c r="D143" s="155">
        <v>155</v>
      </c>
      <c r="E143" s="155">
        <v>200</v>
      </c>
      <c r="F143" s="155">
        <v>248</v>
      </c>
      <c r="G143" s="155">
        <v>302</v>
      </c>
      <c r="H143" s="155">
        <v>356</v>
      </c>
    </row>
    <row r="144" spans="1:8" ht="14.25">
      <c r="A144" s="155" t="s">
        <v>205</v>
      </c>
      <c r="B144" s="155">
        <v>94</v>
      </c>
      <c r="C144" s="155">
        <v>138</v>
      </c>
      <c r="D144" s="155">
        <v>186</v>
      </c>
      <c r="E144" s="155">
        <v>235</v>
      </c>
      <c r="F144" s="155">
        <v>290</v>
      </c>
      <c r="G144" s="155">
        <v>345</v>
      </c>
      <c r="H144" s="155">
        <v>403</v>
      </c>
    </row>
    <row r="145" spans="1:8" ht="14.25">
      <c r="A145" s="155" t="s">
        <v>206</v>
      </c>
      <c r="B145" s="155">
        <v>136</v>
      </c>
      <c r="C145" s="155">
        <v>190</v>
      </c>
      <c r="D145" s="155">
        <v>246</v>
      </c>
      <c r="E145" s="155">
        <v>302</v>
      </c>
      <c r="F145" s="155">
        <v>360</v>
      </c>
      <c r="G145" s="155">
        <v>420</v>
      </c>
      <c r="H145" s="155">
        <v>482</v>
      </c>
    </row>
    <row r="146" spans="1:7" ht="14.25">
      <c r="A146" s="155" t="s">
        <v>207</v>
      </c>
      <c r="B146" s="155">
        <v>63</v>
      </c>
      <c r="C146" s="155">
        <v>88</v>
      </c>
      <c r="D146" s="155">
        <v>114</v>
      </c>
      <c r="E146" s="155">
        <v>140</v>
      </c>
      <c r="F146" s="155">
        <v>166</v>
      </c>
      <c r="G146" s="155">
        <v>194</v>
      </c>
    </row>
    <row r="147" spans="1:7" ht="14.25">
      <c r="A147" s="155" t="s">
        <v>208</v>
      </c>
      <c r="B147" s="155">
        <v>77</v>
      </c>
      <c r="C147" s="155">
        <v>105</v>
      </c>
      <c r="D147" s="155">
        <v>132</v>
      </c>
      <c r="E147" s="155">
        <v>160</v>
      </c>
      <c r="F147" s="155">
        <v>188</v>
      </c>
      <c r="G147" s="155">
        <v>216</v>
      </c>
    </row>
    <row r="148" spans="1:7" ht="14.25">
      <c r="A148" s="155" t="s">
        <v>209</v>
      </c>
      <c r="B148" s="155">
        <v>59</v>
      </c>
      <c r="C148" s="155">
        <v>88</v>
      </c>
      <c r="D148" s="155">
        <v>121</v>
      </c>
      <c r="E148" s="155">
        <v>156</v>
      </c>
      <c r="F148" s="155">
        <v>193</v>
      </c>
      <c r="G148" s="155">
        <v>234</v>
      </c>
    </row>
    <row r="149" spans="1:7" ht="14.25">
      <c r="A149" s="155" t="s">
        <v>210</v>
      </c>
      <c r="B149" s="155">
        <v>51</v>
      </c>
      <c r="C149" s="155">
        <v>83</v>
      </c>
      <c r="D149" s="155">
        <v>119</v>
      </c>
      <c r="E149" s="155">
        <v>161</v>
      </c>
      <c r="F149" s="155">
        <v>207</v>
      </c>
      <c r="G149" s="155">
        <v>258</v>
      </c>
    </row>
    <row r="150" spans="1:7" ht="14.25">
      <c r="A150" s="155" t="s">
        <v>211</v>
      </c>
      <c r="B150" s="155">
        <v>58</v>
      </c>
      <c r="C150" s="155">
        <v>91</v>
      </c>
      <c r="D150" s="155">
        <v>128</v>
      </c>
      <c r="E150" s="155">
        <v>168</v>
      </c>
      <c r="F150" s="155">
        <v>212</v>
      </c>
      <c r="G150" s="155">
        <v>260</v>
      </c>
    </row>
    <row r="151" spans="1:7" ht="14.25">
      <c r="A151" s="155" t="s">
        <v>212</v>
      </c>
      <c r="B151" s="155">
        <v>72</v>
      </c>
      <c r="C151" s="155">
        <v>110</v>
      </c>
      <c r="D151" s="155">
        <v>153</v>
      </c>
      <c r="E151" s="155">
        <v>198</v>
      </c>
      <c r="F151" s="155">
        <v>247</v>
      </c>
      <c r="G151" s="155">
        <v>300</v>
      </c>
    </row>
    <row r="152" spans="1:7" ht="14.25">
      <c r="A152" s="155" t="s">
        <v>213</v>
      </c>
      <c r="B152" s="155">
        <v>90</v>
      </c>
      <c r="C152" s="155">
        <v>134</v>
      </c>
      <c r="D152" s="155">
        <v>180</v>
      </c>
      <c r="E152" s="155">
        <v>230</v>
      </c>
      <c r="F152" s="155">
        <v>284</v>
      </c>
      <c r="G152" s="155">
        <v>341</v>
      </c>
    </row>
    <row r="153" spans="1:7" ht="14.25">
      <c r="A153" s="155" t="s">
        <v>214</v>
      </c>
      <c r="B153" s="155">
        <v>128</v>
      </c>
      <c r="C153" s="155">
        <v>180</v>
      </c>
      <c r="D153" s="155">
        <v>234</v>
      </c>
      <c r="E153" s="155">
        <v>289</v>
      </c>
      <c r="F153" s="155">
        <v>346</v>
      </c>
      <c r="G153" s="155">
        <v>405</v>
      </c>
    </row>
    <row r="154" spans="1:6" ht="14.25">
      <c r="A154" s="155" t="s">
        <v>215</v>
      </c>
      <c r="B154" s="155">
        <v>59</v>
      </c>
      <c r="C154" s="155">
        <v>84</v>
      </c>
      <c r="D154" s="155">
        <v>109</v>
      </c>
      <c r="E154" s="155">
        <v>134</v>
      </c>
      <c r="F154" s="155">
        <v>161</v>
      </c>
    </row>
    <row r="155" spans="1:6" ht="14.25">
      <c r="A155" s="155" t="s">
        <v>216</v>
      </c>
      <c r="B155" s="155">
        <v>72</v>
      </c>
      <c r="C155" s="155">
        <v>99</v>
      </c>
      <c r="D155" s="155">
        <v>125</v>
      </c>
      <c r="E155" s="155">
        <v>153</v>
      </c>
      <c r="F155" s="155">
        <v>179</v>
      </c>
    </row>
    <row r="156" spans="1:6" ht="14.25">
      <c r="A156" s="155" t="s">
        <v>217</v>
      </c>
      <c r="B156" s="155">
        <v>57</v>
      </c>
      <c r="C156" s="155">
        <v>86</v>
      </c>
      <c r="D156" s="155">
        <v>119</v>
      </c>
      <c r="E156" s="155">
        <v>154</v>
      </c>
      <c r="F156" s="155">
        <v>192</v>
      </c>
    </row>
    <row r="157" spans="1:6" ht="14.25">
      <c r="A157" s="155" t="s">
        <v>218</v>
      </c>
      <c r="B157" s="155">
        <v>50</v>
      </c>
      <c r="C157" s="155">
        <v>83</v>
      </c>
      <c r="D157" s="155">
        <v>120</v>
      </c>
      <c r="E157" s="155">
        <v>163</v>
      </c>
      <c r="F157" s="155">
        <v>210</v>
      </c>
    </row>
    <row r="158" spans="1:6" ht="14.25">
      <c r="A158" s="155" t="s">
        <v>219</v>
      </c>
      <c r="B158" s="155">
        <v>57</v>
      </c>
      <c r="C158" s="155">
        <v>90</v>
      </c>
      <c r="D158" s="155">
        <v>127</v>
      </c>
      <c r="E158" s="155">
        <v>168</v>
      </c>
      <c r="F158" s="155">
        <v>213</v>
      </c>
    </row>
    <row r="159" spans="1:6" ht="14.25">
      <c r="A159" s="155" t="s">
        <v>220</v>
      </c>
      <c r="B159" s="155">
        <v>70</v>
      </c>
      <c r="C159" s="155">
        <v>108</v>
      </c>
      <c r="D159" s="155">
        <v>150</v>
      </c>
      <c r="E159" s="155">
        <v>196</v>
      </c>
      <c r="F159" s="155">
        <v>247</v>
      </c>
    </row>
    <row r="160" spans="1:6" ht="14.25">
      <c r="A160" s="155" t="s">
        <v>221</v>
      </c>
      <c r="B160" s="155">
        <v>86</v>
      </c>
      <c r="C160" s="155">
        <v>129</v>
      </c>
      <c r="D160" s="155">
        <v>176</v>
      </c>
      <c r="E160" s="155">
        <v>226</v>
      </c>
      <c r="F160" s="155">
        <v>279</v>
      </c>
    </row>
    <row r="161" spans="1:6" ht="14.25">
      <c r="A161" s="155" t="s">
        <v>222</v>
      </c>
      <c r="B161" s="155">
        <v>120</v>
      </c>
      <c r="C161" s="155">
        <v>170</v>
      </c>
      <c r="D161" s="155">
        <v>222</v>
      </c>
      <c r="E161" s="155">
        <v>275</v>
      </c>
      <c r="F161" s="155">
        <v>331</v>
      </c>
    </row>
    <row r="162" spans="1:5" ht="14.25">
      <c r="A162" s="155" t="s">
        <v>223</v>
      </c>
      <c r="B162" s="155">
        <v>56</v>
      </c>
      <c r="C162" s="155">
        <v>79</v>
      </c>
      <c r="D162" s="155">
        <v>103</v>
      </c>
      <c r="E162" s="155">
        <v>129</v>
      </c>
    </row>
    <row r="163" spans="1:5" ht="14.25">
      <c r="A163" s="155" t="s">
        <v>224</v>
      </c>
      <c r="B163" s="155">
        <v>67</v>
      </c>
      <c r="C163" s="155">
        <v>93</v>
      </c>
      <c r="D163" s="155">
        <v>118</v>
      </c>
      <c r="E163" s="155">
        <v>145</v>
      </c>
    </row>
    <row r="164" spans="1:5" ht="14.25">
      <c r="A164" s="155" t="s">
        <v>225</v>
      </c>
      <c r="B164" s="155">
        <v>55</v>
      </c>
      <c r="C164" s="155">
        <v>85</v>
      </c>
      <c r="D164" s="155">
        <v>117</v>
      </c>
      <c r="E164" s="155">
        <v>153</v>
      </c>
    </row>
    <row r="165" spans="1:5" ht="14.25">
      <c r="A165" s="155" t="s">
        <v>226</v>
      </c>
      <c r="B165" s="155">
        <v>50</v>
      </c>
      <c r="C165" s="155">
        <v>83</v>
      </c>
      <c r="D165" s="155">
        <v>121</v>
      </c>
      <c r="E165" s="155">
        <v>165</v>
      </c>
    </row>
    <row r="166" spans="1:5" ht="14.25">
      <c r="A166" s="155" t="s">
        <v>227</v>
      </c>
      <c r="B166" s="155">
        <v>55</v>
      </c>
      <c r="C166" s="155">
        <v>88</v>
      </c>
      <c r="D166" s="155">
        <v>126</v>
      </c>
      <c r="E166" s="155">
        <v>168</v>
      </c>
    </row>
    <row r="167" spans="1:5" ht="14.25">
      <c r="A167" s="155" t="s">
        <v>228</v>
      </c>
      <c r="B167" s="155">
        <v>68</v>
      </c>
      <c r="C167" s="155">
        <v>106</v>
      </c>
      <c r="D167" s="155">
        <v>148</v>
      </c>
      <c r="E167" s="155">
        <v>196</v>
      </c>
    </row>
    <row r="168" spans="1:5" ht="14.25">
      <c r="A168" s="155" t="s">
        <v>229</v>
      </c>
      <c r="B168" s="155">
        <v>82</v>
      </c>
      <c r="C168" s="155">
        <v>125</v>
      </c>
      <c r="D168" s="155">
        <v>171</v>
      </c>
      <c r="E168" s="155">
        <v>220</v>
      </c>
    </row>
    <row r="169" spans="1:5" ht="14.25">
      <c r="A169" s="155" t="s">
        <v>230</v>
      </c>
      <c r="B169" s="155">
        <v>112</v>
      </c>
      <c r="C169" s="155">
        <v>160</v>
      </c>
      <c r="D169" s="155">
        <v>210</v>
      </c>
      <c r="E169" s="155">
        <v>262</v>
      </c>
    </row>
    <row r="170" spans="1:4" ht="14.25">
      <c r="A170" s="155" t="s">
        <v>231</v>
      </c>
      <c r="B170" s="155">
        <v>52</v>
      </c>
      <c r="C170" s="155">
        <v>75</v>
      </c>
      <c r="D170" s="155">
        <v>98</v>
      </c>
    </row>
    <row r="171" spans="1:4" ht="14.25">
      <c r="A171" s="155" t="s">
        <v>232</v>
      </c>
      <c r="B171" s="155">
        <v>62</v>
      </c>
      <c r="C171" s="155">
        <v>86</v>
      </c>
      <c r="D171" s="155">
        <v>111</v>
      </c>
    </row>
    <row r="172" spans="1:4" ht="14.25">
      <c r="A172" s="155" t="s">
        <v>233</v>
      </c>
      <c r="B172" s="155">
        <v>53</v>
      </c>
      <c r="C172" s="155">
        <v>83</v>
      </c>
      <c r="D172" s="155">
        <v>116</v>
      </c>
    </row>
    <row r="173" spans="1:4" ht="14.25">
      <c r="A173" s="155" t="s">
        <v>234</v>
      </c>
      <c r="B173" s="155">
        <v>49</v>
      </c>
      <c r="C173" s="155">
        <v>83</v>
      </c>
      <c r="D173" s="155">
        <v>123</v>
      </c>
    </row>
    <row r="174" spans="1:4" ht="14.25">
      <c r="A174" s="155" t="s">
        <v>235</v>
      </c>
      <c r="B174" s="155">
        <v>54</v>
      </c>
      <c r="C174" s="155">
        <v>87</v>
      </c>
      <c r="D174" s="155">
        <v>126</v>
      </c>
    </row>
    <row r="175" spans="1:4" ht="14.25">
      <c r="A175" s="155" t="s">
        <v>236</v>
      </c>
      <c r="B175" s="155">
        <v>66</v>
      </c>
      <c r="C175" s="155">
        <v>104</v>
      </c>
      <c r="D175" s="155">
        <v>147</v>
      </c>
    </row>
    <row r="176" spans="1:4" ht="14.25">
      <c r="A176" s="155" t="s">
        <v>237</v>
      </c>
      <c r="B176" s="155">
        <v>78</v>
      </c>
      <c r="C176" s="155">
        <v>120</v>
      </c>
      <c r="D176" s="155">
        <v>166</v>
      </c>
    </row>
    <row r="177" spans="1:4" ht="14.25">
      <c r="A177" s="155" t="s">
        <v>238</v>
      </c>
      <c r="B177" s="155">
        <v>103</v>
      </c>
      <c r="C177" s="155">
        <v>149</v>
      </c>
      <c r="D177" s="155">
        <v>198</v>
      </c>
    </row>
    <row r="178" spans="1:3" ht="14.25">
      <c r="A178" s="155" t="s">
        <v>239</v>
      </c>
      <c r="B178" s="155">
        <v>48</v>
      </c>
      <c r="C178" s="155">
        <v>70</v>
      </c>
    </row>
    <row r="179" spans="1:3" ht="14.25">
      <c r="A179" s="155" t="s">
        <v>240</v>
      </c>
      <c r="B179" s="155">
        <v>57</v>
      </c>
      <c r="C179" s="155">
        <v>80</v>
      </c>
    </row>
    <row r="180" spans="1:3" ht="14.25">
      <c r="A180" s="155" t="s">
        <v>241</v>
      </c>
      <c r="B180" s="155">
        <v>52</v>
      </c>
      <c r="C180" s="155">
        <v>81</v>
      </c>
    </row>
    <row r="181" spans="1:3" ht="14.25">
      <c r="A181" s="155" t="s">
        <v>242</v>
      </c>
      <c r="B181" s="155">
        <v>49</v>
      </c>
      <c r="C181" s="155">
        <v>84</v>
      </c>
    </row>
    <row r="182" spans="1:3" ht="14.25">
      <c r="A182" s="155" t="s">
        <v>243</v>
      </c>
      <c r="B182" s="155">
        <v>53</v>
      </c>
      <c r="C182" s="155">
        <v>87</v>
      </c>
    </row>
    <row r="183" spans="1:3" ht="14.25">
      <c r="A183" s="155" t="s">
        <v>244</v>
      </c>
      <c r="B183" s="155">
        <v>64</v>
      </c>
      <c r="C183" s="155">
        <v>102</v>
      </c>
    </row>
    <row r="184" spans="1:3" ht="14.25">
      <c r="A184" s="155" t="s">
        <v>245</v>
      </c>
      <c r="B184" s="155">
        <v>74</v>
      </c>
      <c r="C184" s="155">
        <v>115</v>
      </c>
    </row>
    <row r="185" spans="1:3" ht="14.25">
      <c r="A185" s="155" t="s">
        <v>246</v>
      </c>
      <c r="B185" s="155">
        <v>94</v>
      </c>
      <c r="C185" s="155">
        <v>138</v>
      </c>
    </row>
    <row r="186" spans="1:2" ht="14.25">
      <c r="A186" s="155" t="s">
        <v>247</v>
      </c>
      <c r="B186" s="155">
        <v>44</v>
      </c>
    </row>
    <row r="187" spans="1:2" ht="14.25">
      <c r="A187" s="155" t="s">
        <v>248</v>
      </c>
      <c r="B187" s="155">
        <v>51</v>
      </c>
    </row>
    <row r="188" spans="1:2" ht="14.25">
      <c r="A188" s="155" t="s">
        <v>249</v>
      </c>
      <c r="B188" s="155">
        <v>50</v>
      </c>
    </row>
    <row r="189" spans="1:2" ht="14.25">
      <c r="A189" s="155" t="s">
        <v>250</v>
      </c>
      <c r="B189" s="155">
        <v>50</v>
      </c>
    </row>
    <row r="190" spans="1:2" ht="14.25">
      <c r="A190" s="155" t="s">
        <v>251</v>
      </c>
      <c r="B190" s="155">
        <v>52</v>
      </c>
    </row>
    <row r="191" spans="1:2" ht="14.25">
      <c r="A191" s="155" t="s">
        <v>252</v>
      </c>
      <c r="B191" s="155">
        <v>62</v>
      </c>
    </row>
    <row r="192" spans="1:2" ht="14.25">
      <c r="A192" s="155" t="s">
        <v>253</v>
      </c>
      <c r="B192" s="155">
        <v>70</v>
      </c>
    </row>
    <row r="193" spans="1:2" ht="14.25">
      <c r="A193" s="155" t="s">
        <v>254</v>
      </c>
      <c r="B193" s="155">
        <v>85</v>
      </c>
    </row>
    <row r="194" spans="1:12" ht="14.25">
      <c r="A194" s="155" t="s">
        <v>255</v>
      </c>
      <c r="B194" s="155">
        <v>26</v>
      </c>
      <c r="C194" s="155">
        <v>57</v>
      </c>
      <c r="D194" s="155">
        <v>85</v>
      </c>
      <c r="E194" s="155">
        <v>113</v>
      </c>
      <c r="F194" s="155">
        <v>141</v>
      </c>
      <c r="G194" s="155">
        <v>169</v>
      </c>
      <c r="H194" s="155">
        <v>198</v>
      </c>
      <c r="I194" s="155">
        <v>227</v>
      </c>
      <c r="J194" s="155">
        <v>257</v>
      </c>
      <c r="K194" s="155">
        <v>287</v>
      </c>
      <c r="L194" s="155">
        <v>318</v>
      </c>
    </row>
    <row r="195" spans="1:12" ht="14.25">
      <c r="A195" s="155" t="s">
        <v>256</v>
      </c>
      <c r="B195" s="155">
        <v>36</v>
      </c>
      <c r="C195" s="155">
        <v>73</v>
      </c>
      <c r="D195" s="155">
        <v>105</v>
      </c>
      <c r="E195" s="155">
        <v>136</v>
      </c>
      <c r="F195" s="155">
        <v>166</v>
      </c>
      <c r="G195" s="155">
        <v>197</v>
      </c>
      <c r="H195" s="155">
        <v>228</v>
      </c>
      <c r="I195" s="155">
        <v>258</v>
      </c>
      <c r="J195" s="155">
        <v>290</v>
      </c>
      <c r="K195" s="155">
        <v>321</v>
      </c>
      <c r="L195" s="155">
        <v>353</v>
      </c>
    </row>
    <row r="196" spans="1:12" ht="14.25">
      <c r="A196" s="155" t="s">
        <v>257</v>
      </c>
      <c r="B196" s="155">
        <v>18</v>
      </c>
      <c r="C196" s="155">
        <v>47</v>
      </c>
      <c r="D196" s="155">
        <v>76</v>
      </c>
      <c r="E196" s="155">
        <v>108</v>
      </c>
      <c r="F196" s="155">
        <v>141</v>
      </c>
      <c r="G196" s="155">
        <v>176</v>
      </c>
      <c r="H196" s="155">
        <v>214</v>
      </c>
      <c r="I196" s="155">
        <v>253</v>
      </c>
      <c r="J196" s="155">
        <v>294</v>
      </c>
      <c r="K196" s="155">
        <v>337</v>
      </c>
      <c r="L196" s="155">
        <v>382</v>
      </c>
    </row>
    <row r="197" spans="1:12" ht="14.25">
      <c r="A197" s="155" t="s">
        <v>258</v>
      </c>
      <c r="B197" s="155">
        <v>12</v>
      </c>
      <c r="C197" s="155">
        <v>37</v>
      </c>
      <c r="D197" s="155">
        <v>66</v>
      </c>
      <c r="E197" s="155">
        <v>98</v>
      </c>
      <c r="F197" s="155">
        <v>135</v>
      </c>
      <c r="G197" s="155">
        <v>175</v>
      </c>
      <c r="H197" s="155">
        <v>219</v>
      </c>
      <c r="I197" s="155">
        <v>267</v>
      </c>
      <c r="J197" s="155">
        <v>319</v>
      </c>
      <c r="K197" s="155">
        <v>374</v>
      </c>
      <c r="L197" s="155">
        <v>433</v>
      </c>
    </row>
    <row r="198" spans="1:12" ht="14.25">
      <c r="A198" s="155" t="s">
        <v>259</v>
      </c>
      <c r="B198" s="155">
        <v>17</v>
      </c>
      <c r="C198" s="155">
        <v>48</v>
      </c>
      <c r="D198" s="155">
        <v>82</v>
      </c>
      <c r="E198" s="155">
        <v>119</v>
      </c>
      <c r="F198" s="155">
        <v>160</v>
      </c>
      <c r="G198" s="155">
        <v>204</v>
      </c>
      <c r="H198" s="155">
        <v>251</v>
      </c>
      <c r="I198" s="155">
        <v>302</v>
      </c>
      <c r="J198" s="155">
        <v>356</v>
      </c>
      <c r="K198" s="155">
        <v>413</v>
      </c>
      <c r="L198" s="155">
        <v>474</v>
      </c>
    </row>
    <row r="199" spans="1:12" ht="14.25">
      <c r="A199" s="155" t="s">
        <v>260</v>
      </c>
      <c r="B199" s="155">
        <v>21</v>
      </c>
      <c r="C199" s="155">
        <v>57</v>
      </c>
      <c r="D199" s="155">
        <v>94</v>
      </c>
      <c r="E199" s="155">
        <v>134</v>
      </c>
      <c r="F199" s="155">
        <v>178</v>
      </c>
      <c r="G199" s="155">
        <v>224</v>
      </c>
      <c r="H199" s="155">
        <v>273</v>
      </c>
      <c r="I199" s="155">
        <v>325</v>
      </c>
      <c r="J199" s="155">
        <v>381</v>
      </c>
      <c r="K199" s="155">
        <v>439</v>
      </c>
      <c r="L199" s="155">
        <v>499</v>
      </c>
    </row>
    <row r="200" spans="1:12" ht="14.25">
      <c r="A200" s="155" t="s">
        <v>261</v>
      </c>
      <c r="B200" s="155">
        <v>30</v>
      </c>
      <c r="C200" s="155">
        <v>75</v>
      </c>
      <c r="D200" s="155">
        <v>120</v>
      </c>
      <c r="E200" s="155">
        <v>167</v>
      </c>
      <c r="F200" s="155">
        <v>217</v>
      </c>
      <c r="G200" s="155">
        <v>269</v>
      </c>
      <c r="H200" s="155">
        <v>324</v>
      </c>
      <c r="I200" s="155">
        <v>382</v>
      </c>
      <c r="J200" s="155">
        <v>442</v>
      </c>
      <c r="K200" s="155">
        <v>504</v>
      </c>
      <c r="L200" s="155">
        <v>569</v>
      </c>
    </row>
    <row r="201" spans="1:12" ht="14.25">
      <c r="A201" s="155" t="s">
        <v>262</v>
      </c>
      <c r="B201" s="155">
        <v>54</v>
      </c>
      <c r="C201" s="155">
        <v>119</v>
      </c>
      <c r="D201" s="155">
        <v>178</v>
      </c>
      <c r="E201" s="155">
        <v>237</v>
      </c>
      <c r="F201" s="155">
        <v>297</v>
      </c>
      <c r="G201" s="155">
        <v>358</v>
      </c>
      <c r="H201" s="155">
        <v>420</v>
      </c>
      <c r="I201" s="155">
        <v>483</v>
      </c>
      <c r="J201" s="155">
        <v>548</v>
      </c>
      <c r="K201" s="155">
        <v>615</v>
      </c>
      <c r="L201" s="155">
        <v>682</v>
      </c>
    </row>
    <row r="202" spans="1:11" ht="14.25">
      <c r="A202" s="155" t="s">
        <v>263</v>
      </c>
      <c r="B202" s="155">
        <v>25</v>
      </c>
      <c r="C202" s="155">
        <v>54</v>
      </c>
      <c r="D202" s="155">
        <v>82</v>
      </c>
      <c r="E202" s="155">
        <v>109</v>
      </c>
      <c r="F202" s="155">
        <v>136</v>
      </c>
      <c r="G202" s="155">
        <v>164</v>
      </c>
      <c r="H202" s="155">
        <v>192</v>
      </c>
      <c r="I202" s="155">
        <v>221</v>
      </c>
      <c r="J202" s="155">
        <v>250</v>
      </c>
      <c r="K202" s="155">
        <v>280</v>
      </c>
    </row>
    <row r="203" spans="1:11" ht="14.25">
      <c r="A203" s="155" t="s">
        <v>264</v>
      </c>
      <c r="B203" s="155">
        <v>33</v>
      </c>
      <c r="C203" s="155">
        <v>69</v>
      </c>
      <c r="D203" s="155">
        <v>100</v>
      </c>
      <c r="E203" s="155">
        <v>130</v>
      </c>
      <c r="F203" s="155">
        <v>160</v>
      </c>
      <c r="G203" s="155">
        <v>189</v>
      </c>
      <c r="H203" s="155">
        <v>219</v>
      </c>
      <c r="I203" s="155">
        <v>250</v>
      </c>
      <c r="J203" s="155">
        <v>280</v>
      </c>
      <c r="K203" s="155">
        <v>311</v>
      </c>
    </row>
    <row r="204" spans="1:11" ht="14.25">
      <c r="A204" s="155" t="s">
        <v>265</v>
      </c>
      <c r="B204" s="155">
        <v>17</v>
      </c>
      <c r="C204" s="155">
        <v>45</v>
      </c>
      <c r="D204" s="155">
        <v>74</v>
      </c>
      <c r="E204" s="155">
        <v>105</v>
      </c>
      <c r="F204" s="155">
        <v>139</v>
      </c>
      <c r="G204" s="155">
        <v>174</v>
      </c>
      <c r="H204" s="155">
        <v>211</v>
      </c>
      <c r="I204" s="155">
        <v>251</v>
      </c>
      <c r="J204" s="155">
        <v>293</v>
      </c>
      <c r="K204" s="155">
        <v>336</v>
      </c>
    </row>
    <row r="205" spans="1:11" ht="14.25">
      <c r="A205" s="155" t="s">
        <v>266</v>
      </c>
      <c r="B205" s="155">
        <v>12</v>
      </c>
      <c r="C205" s="155">
        <v>36</v>
      </c>
      <c r="D205" s="155">
        <v>65</v>
      </c>
      <c r="E205" s="155">
        <v>97</v>
      </c>
      <c r="F205" s="155">
        <v>134</v>
      </c>
      <c r="G205" s="155">
        <v>175</v>
      </c>
      <c r="H205" s="155">
        <v>220</v>
      </c>
      <c r="I205" s="155">
        <v>269</v>
      </c>
      <c r="J205" s="155">
        <v>322</v>
      </c>
      <c r="K205" s="155">
        <v>379</v>
      </c>
    </row>
    <row r="206" spans="1:11" ht="14.25">
      <c r="A206" s="155" t="s">
        <v>267</v>
      </c>
      <c r="B206" s="155">
        <v>16</v>
      </c>
      <c r="C206" s="155">
        <v>47</v>
      </c>
      <c r="D206" s="155">
        <v>80</v>
      </c>
      <c r="E206" s="155">
        <v>117</v>
      </c>
      <c r="F206" s="155">
        <v>158</v>
      </c>
      <c r="G206" s="155">
        <v>202</v>
      </c>
      <c r="H206" s="155">
        <v>250</v>
      </c>
      <c r="I206" s="155">
        <v>302</v>
      </c>
      <c r="J206" s="155">
        <v>357</v>
      </c>
      <c r="K206" s="155">
        <v>415</v>
      </c>
    </row>
    <row r="207" spans="1:11" ht="14.25">
      <c r="A207" s="155" t="s">
        <v>268</v>
      </c>
      <c r="B207" s="155">
        <v>20</v>
      </c>
      <c r="C207" s="155">
        <v>55</v>
      </c>
      <c r="D207" s="155">
        <v>92</v>
      </c>
      <c r="E207" s="155">
        <v>132</v>
      </c>
      <c r="F207" s="155">
        <v>175</v>
      </c>
      <c r="G207" s="155">
        <v>221</v>
      </c>
      <c r="H207" s="155">
        <v>271</v>
      </c>
      <c r="I207" s="155">
        <v>324</v>
      </c>
      <c r="J207" s="155">
        <v>379</v>
      </c>
      <c r="K207" s="155">
        <v>438</v>
      </c>
    </row>
    <row r="208" spans="1:11" ht="14.25">
      <c r="A208" s="155" t="s">
        <v>269</v>
      </c>
      <c r="B208" s="155">
        <v>28</v>
      </c>
      <c r="C208" s="155">
        <v>72</v>
      </c>
      <c r="D208" s="155">
        <v>116</v>
      </c>
      <c r="E208" s="155">
        <v>163</v>
      </c>
      <c r="F208" s="155">
        <v>212</v>
      </c>
      <c r="G208" s="155">
        <v>264</v>
      </c>
      <c r="H208" s="155">
        <v>319</v>
      </c>
      <c r="I208" s="155">
        <v>376</v>
      </c>
      <c r="J208" s="155">
        <v>436</v>
      </c>
      <c r="K208" s="155">
        <v>499</v>
      </c>
    </row>
    <row r="209" spans="1:11" ht="14.25">
      <c r="A209" s="155" t="s">
        <v>270</v>
      </c>
      <c r="B209" s="155">
        <v>50</v>
      </c>
      <c r="C209" s="155">
        <v>112</v>
      </c>
      <c r="D209" s="155">
        <v>170</v>
      </c>
      <c r="E209" s="155">
        <v>227</v>
      </c>
      <c r="F209" s="155">
        <v>285</v>
      </c>
      <c r="G209" s="155">
        <v>345</v>
      </c>
      <c r="H209" s="155">
        <v>405</v>
      </c>
      <c r="I209" s="155">
        <v>468</v>
      </c>
      <c r="J209" s="155">
        <v>532</v>
      </c>
      <c r="K209" s="155">
        <v>597</v>
      </c>
    </row>
    <row r="210" spans="1:10" ht="14.25">
      <c r="A210" s="155" t="s">
        <v>271</v>
      </c>
      <c r="B210" s="155">
        <v>23</v>
      </c>
      <c r="C210" s="155">
        <v>52</v>
      </c>
      <c r="D210" s="155">
        <v>78</v>
      </c>
      <c r="E210" s="155">
        <v>104</v>
      </c>
      <c r="F210" s="155">
        <v>131</v>
      </c>
      <c r="G210" s="155">
        <v>158</v>
      </c>
      <c r="H210" s="155">
        <v>186</v>
      </c>
      <c r="I210" s="155">
        <v>214</v>
      </c>
      <c r="J210" s="155">
        <v>244</v>
      </c>
    </row>
    <row r="211" spans="1:10" ht="14.25">
      <c r="A211" s="155" t="s">
        <v>272</v>
      </c>
      <c r="B211" s="155">
        <v>31</v>
      </c>
      <c r="C211" s="155">
        <v>65</v>
      </c>
      <c r="D211" s="155">
        <v>95</v>
      </c>
      <c r="E211" s="155">
        <v>124</v>
      </c>
      <c r="F211" s="155">
        <v>153</v>
      </c>
      <c r="G211" s="155">
        <v>182</v>
      </c>
      <c r="H211" s="155">
        <v>211</v>
      </c>
      <c r="I211" s="155">
        <v>241</v>
      </c>
      <c r="J211" s="155">
        <v>271</v>
      </c>
    </row>
    <row r="212" spans="1:10" ht="14.25">
      <c r="A212" s="155" t="s">
        <v>273</v>
      </c>
      <c r="B212" s="155">
        <v>16</v>
      </c>
      <c r="C212" s="155">
        <v>44</v>
      </c>
      <c r="D212" s="155">
        <v>72</v>
      </c>
      <c r="E212" s="155">
        <v>103</v>
      </c>
      <c r="F212" s="155">
        <v>136</v>
      </c>
      <c r="G212" s="155">
        <v>172</v>
      </c>
      <c r="H212" s="155">
        <v>210</v>
      </c>
      <c r="I212" s="155">
        <v>250</v>
      </c>
      <c r="J212" s="155">
        <v>292</v>
      </c>
    </row>
    <row r="213" spans="1:10" ht="14.25">
      <c r="A213" s="155" t="s">
        <v>274</v>
      </c>
      <c r="B213" s="155">
        <v>11</v>
      </c>
      <c r="C213" s="155">
        <v>35</v>
      </c>
      <c r="D213" s="155">
        <v>64</v>
      </c>
      <c r="E213" s="155">
        <v>97</v>
      </c>
      <c r="F213" s="155">
        <v>134</v>
      </c>
      <c r="G213" s="155">
        <v>176</v>
      </c>
      <c r="H213" s="155">
        <v>222</v>
      </c>
      <c r="I213" s="155">
        <v>272</v>
      </c>
      <c r="J213" s="155">
        <v>326</v>
      </c>
    </row>
    <row r="214" spans="1:10" ht="14.25">
      <c r="A214" s="155" t="s">
        <v>275</v>
      </c>
      <c r="B214" s="155">
        <v>16</v>
      </c>
      <c r="C214" s="155">
        <v>45</v>
      </c>
      <c r="D214" s="155">
        <v>78</v>
      </c>
      <c r="E214" s="155">
        <v>116</v>
      </c>
      <c r="F214" s="155">
        <v>156</v>
      </c>
      <c r="G214" s="155">
        <v>201</v>
      </c>
      <c r="H214" s="155">
        <v>250</v>
      </c>
      <c r="I214" s="155">
        <v>302</v>
      </c>
      <c r="J214" s="155">
        <v>358</v>
      </c>
    </row>
    <row r="215" spans="1:10" ht="14.25">
      <c r="A215" s="155" t="s">
        <v>276</v>
      </c>
      <c r="B215" s="155">
        <v>19</v>
      </c>
      <c r="C215" s="155">
        <v>53</v>
      </c>
      <c r="D215" s="155">
        <v>90</v>
      </c>
      <c r="E215" s="155">
        <v>129</v>
      </c>
      <c r="F215" s="155">
        <v>173</v>
      </c>
      <c r="G215" s="155">
        <v>219</v>
      </c>
      <c r="H215" s="155">
        <v>269</v>
      </c>
      <c r="I215" s="155">
        <v>322</v>
      </c>
      <c r="J215" s="155">
        <v>379</v>
      </c>
    </row>
    <row r="216" spans="1:10" ht="14.25">
      <c r="A216" s="155" t="s">
        <v>277</v>
      </c>
      <c r="B216" s="155">
        <v>27</v>
      </c>
      <c r="C216" s="155">
        <v>69</v>
      </c>
      <c r="D216" s="155">
        <v>112</v>
      </c>
      <c r="E216" s="155">
        <v>158</v>
      </c>
      <c r="F216" s="155">
        <v>207</v>
      </c>
      <c r="G216" s="155">
        <v>258</v>
      </c>
      <c r="H216" s="155">
        <v>313</v>
      </c>
      <c r="I216" s="155">
        <v>370</v>
      </c>
      <c r="J216" s="155">
        <v>431</v>
      </c>
    </row>
    <row r="217" spans="1:10" ht="14.25">
      <c r="A217" s="155" t="s">
        <v>278</v>
      </c>
      <c r="B217" s="155">
        <v>47</v>
      </c>
      <c r="C217" s="155">
        <v>106</v>
      </c>
      <c r="D217" s="155">
        <v>161</v>
      </c>
      <c r="E217" s="155">
        <v>217</v>
      </c>
      <c r="F217" s="155">
        <v>273</v>
      </c>
      <c r="G217" s="155">
        <v>331</v>
      </c>
      <c r="H217" s="155">
        <v>391</v>
      </c>
      <c r="I217" s="155">
        <v>452</v>
      </c>
      <c r="J217" s="155">
        <v>515</v>
      </c>
    </row>
    <row r="218" spans="1:9" ht="14.25">
      <c r="A218" s="155" t="s">
        <v>279</v>
      </c>
      <c r="B218" s="155">
        <v>21</v>
      </c>
      <c r="C218" s="155">
        <v>49</v>
      </c>
      <c r="D218" s="155">
        <v>74</v>
      </c>
      <c r="E218" s="155">
        <v>100</v>
      </c>
      <c r="F218" s="155">
        <v>126</v>
      </c>
      <c r="G218" s="155">
        <v>153</v>
      </c>
      <c r="H218" s="155">
        <v>180</v>
      </c>
      <c r="I218" s="155">
        <v>208</v>
      </c>
    </row>
    <row r="219" spans="1:9" ht="14.25">
      <c r="A219" s="155" t="s">
        <v>280</v>
      </c>
      <c r="B219" s="155">
        <v>29</v>
      </c>
      <c r="C219" s="155">
        <v>61</v>
      </c>
      <c r="D219" s="155">
        <v>90</v>
      </c>
      <c r="E219" s="155">
        <v>118</v>
      </c>
      <c r="F219" s="155">
        <v>146</v>
      </c>
      <c r="G219" s="155">
        <v>174</v>
      </c>
      <c r="H219" s="155">
        <v>203</v>
      </c>
      <c r="I219" s="155">
        <v>232</v>
      </c>
    </row>
    <row r="220" spans="1:9" ht="14.25">
      <c r="A220" s="155" t="s">
        <v>281</v>
      </c>
      <c r="B220" s="155">
        <v>15</v>
      </c>
      <c r="C220" s="155">
        <v>42</v>
      </c>
      <c r="D220" s="155">
        <v>70</v>
      </c>
      <c r="E220" s="155">
        <v>101</v>
      </c>
      <c r="F220" s="155">
        <v>134</v>
      </c>
      <c r="G220" s="155">
        <v>170</v>
      </c>
      <c r="H220" s="155">
        <v>208</v>
      </c>
      <c r="I220" s="155">
        <v>248</v>
      </c>
    </row>
    <row r="221" spans="1:9" ht="14.25">
      <c r="A221" s="155" t="s">
        <v>282</v>
      </c>
      <c r="B221" s="155">
        <v>11</v>
      </c>
      <c r="C221" s="155">
        <v>34</v>
      </c>
      <c r="D221" s="155">
        <v>63</v>
      </c>
      <c r="E221" s="155">
        <v>96</v>
      </c>
      <c r="F221" s="155">
        <v>134</v>
      </c>
      <c r="G221" s="155">
        <v>177</v>
      </c>
      <c r="H221" s="155">
        <v>224</v>
      </c>
      <c r="I221" s="155">
        <v>276</v>
      </c>
    </row>
    <row r="222" spans="1:9" ht="14.25">
      <c r="A222" s="155" t="s">
        <v>283</v>
      </c>
      <c r="B222" s="155">
        <v>15</v>
      </c>
      <c r="C222" s="155">
        <v>44</v>
      </c>
      <c r="D222" s="155">
        <v>77</v>
      </c>
      <c r="E222" s="155">
        <v>114</v>
      </c>
      <c r="F222" s="155">
        <v>155</v>
      </c>
      <c r="G222" s="155">
        <v>201</v>
      </c>
      <c r="H222" s="155">
        <v>250</v>
      </c>
      <c r="I222" s="155">
        <v>303</v>
      </c>
    </row>
    <row r="223" spans="1:9" ht="14.25">
      <c r="A223" s="155" t="s">
        <v>284</v>
      </c>
      <c r="B223" s="155">
        <v>18</v>
      </c>
      <c r="C223" s="155">
        <v>51</v>
      </c>
      <c r="D223" s="155">
        <v>87</v>
      </c>
      <c r="E223" s="155">
        <v>127</v>
      </c>
      <c r="F223" s="155">
        <v>170</v>
      </c>
      <c r="G223" s="155">
        <v>217</v>
      </c>
      <c r="H223" s="155">
        <v>268</v>
      </c>
      <c r="I223" s="155">
        <v>322</v>
      </c>
    </row>
    <row r="224" spans="1:9" ht="14.25">
      <c r="A224" s="155" t="s">
        <v>285</v>
      </c>
      <c r="B224" s="155">
        <v>25</v>
      </c>
      <c r="C224" s="155">
        <v>66</v>
      </c>
      <c r="D224" s="155">
        <v>108</v>
      </c>
      <c r="E224" s="155">
        <v>153</v>
      </c>
      <c r="F224" s="155">
        <v>202</v>
      </c>
      <c r="G224" s="155">
        <v>253</v>
      </c>
      <c r="H224" s="155">
        <v>308</v>
      </c>
      <c r="I224" s="155">
        <v>365</v>
      </c>
    </row>
    <row r="225" spans="1:9" ht="14.25">
      <c r="A225" s="155" t="s">
        <v>286</v>
      </c>
      <c r="B225" s="155">
        <v>43</v>
      </c>
      <c r="C225" s="155">
        <v>99</v>
      </c>
      <c r="D225" s="155">
        <v>152</v>
      </c>
      <c r="E225" s="155">
        <v>206</v>
      </c>
      <c r="F225" s="155">
        <v>261</v>
      </c>
      <c r="G225" s="155">
        <v>318</v>
      </c>
      <c r="H225" s="155">
        <v>376</v>
      </c>
      <c r="I225" s="155">
        <v>436</v>
      </c>
    </row>
    <row r="226" spans="1:8" ht="14.25">
      <c r="A226" s="155" t="s">
        <v>287</v>
      </c>
      <c r="B226" s="155">
        <v>20</v>
      </c>
      <c r="C226" s="155">
        <v>46</v>
      </c>
      <c r="D226" s="155">
        <v>70</v>
      </c>
      <c r="E226" s="155">
        <v>95</v>
      </c>
      <c r="F226" s="155">
        <v>121</v>
      </c>
      <c r="G226" s="155">
        <v>147</v>
      </c>
      <c r="H226" s="155">
        <v>174</v>
      </c>
    </row>
    <row r="227" spans="1:8" ht="14.25">
      <c r="A227" s="155" t="s">
        <v>288</v>
      </c>
      <c r="B227" s="155">
        <v>26</v>
      </c>
      <c r="C227" s="155">
        <v>57</v>
      </c>
      <c r="D227" s="155">
        <v>84</v>
      </c>
      <c r="E227" s="155">
        <v>111</v>
      </c>
      <c r="F227" s="155">
        <v>139</v>
      </c>
      <c r="G227" s="155">
        <v>166</v>
      </c>
      <c r="H227" s="155">
        <v>194</v>
      </c>
    </row>
    <row r="228" spans="1:8" ht="14.25">
      <c r="A228" s="155" t="s">
        <v>289</v>
      </c>
      <c r="B228" s="155">
        <v>15</v>
      </c>
      <c r="C228" s="155">
        <v>40</v>
      </c>
      <c r="D228" s="155">
        <v>68</v>
      </c>
      <c r="E228" s="155">
        <v>99</v>
      </c>
      <c r="F228" s="155">
        <v>132</v>
      </c>
      <c r="G228" s="155">
        <v>168</v>
      </c>
      <c r="H228" s="155">
        <v>207</v>
      </c>
    </row>
    <row r="229" spans="1:8" ht="14.25">
      <c r="A229" s="155" t="s">
        <v>290</v>
      </c>
      <c r="B229" s="155">
        <v>10</v>
      </c>
      <c r="C229" s="155">
        <v>34</v>
      </c>
      <c r="D229" s="155">
        <v>62</v>
      </c>
      <c r="E229" s="155">
        <v>96</v>
      </c>
      <c r="F229" s="155">
        <v>135</v>
      </c>
      <c r="G229" s="155">
        <v>178</v>
      </c>
      <c r="H229" s="155">
        <v>227</v>
      </c>
    </row>
    <row r="230" spans="1:8" ht="14.25">
      <c r="A230" s="155" t="s">
        <v>291</v>
      </c>
      <c r="B230" s="155">
        <v>14</v>
      </c>
      <c r="C230" s="155">
        <v>42</v>
      </c>
      <c r="D230" s="155">
        <v>75</v>
      </c>
      <c r="E230" s="155">
        <v>112</v>
      </c>
      <c r="F230" s="155">
        <v>154</v>
      </c>
      <c r="G230" s="155">
        <v>200</v>
      </c>
      <c r="H230" s="155">
        <v>251</v>
      </c>
    </row>
    <row r="231" spans="1:8" ht="14.25">
      <c r="A231" s="155" t="s">
        <v>292</v>
      </c>
      <c r="B231" s="155">
        <v>17</v>
      </c>
      <c r="C231" s="155">
        <v>49</v>
      </c>
      <c r="D231" s="155">
        <v>85</v>
      </c>
      <c r="E231" s="155">
        <v>124</v>
      </c>
      <c r="F231" s="155">
        <v>168</v>
      </c>
      <c r="G231" s="155">
        <v>215</v>
      </c>
      <c r="H231" s="155">
        <v>267</v>
      </c>
    </row>
    <row r="232" spans="1:8" ht="14.25">
      <c r="A232" s="155" t="s">
        <v>293</v>
      </c>
      <c r="B232" s="155">
        <v>23</v>
      </c>
      <c r="C232" s="155">
        <v>63</v>
      </c>
      <c r="D232" s="155">
        <v>104</v>
      </c>
      <c r="E232" s="155">
        <v>149</v>
      </c>
      <c r="F232" s="155">
        <v>197</v>
      </c>
      <c r="G232" s="155">
        <v>248</v>
      </c>
      <c r="H232" s="155">
        <v>303</v>
      </c>
    </row>
    <row r="233" spans="1:8" ht="14.25">
      <c r="A233" s="155" t="s">
        <v>294</v>
      </c>
      <c r="B233" s="155">
        <v>39</v>
      </c>
      <c r="C233" s="155">
        <v>93</v>
      </c>
      <c r="D233" s="155">
        <v>143</v>
      </c>
      <c r="E233" s="155">
        <v>195</v>
      </c>
      <c r="F233" s="155">
        <v>249</v>
      </c>
      <c r="G233" s="155">
        <v>304</v>
      </c>
      <c r="H233" s="155">
        <v>361</v>
      </c>
    </row>
    <row r="234" spans="1:7" ht="14.25">
      <c r="A234" s="155" t="s">
        <v>295</v>
      </c>
      <c r="B234" s="155">
        <v>18</v>
      </c>
      <c r="C234" s="155">
        <v>43</v>
      </c>
      <c r="D234" s="155">
        <v>66</v>
      </c>
      <c r="E234" s="155">
        <v>91</v>
      </c>
      <c r="F234" s="155">
        <v>115</v>
      </c>
      <c r="G234" s="155">
        <v>141</v>
      </c>
    </row>
    <row r="235" spans="1:7" ht="14.25">
      <c r="A235" s="155" t="s">
        <v>296</v>
      </c>
      <c r="B235" s="155">
        <v>24</v>
      </c>
      <c r="C235" s="155">
        <v>53</v>
      </c>
      <c r="D235" s="155">
        <v>79</v>
      </c>
      <c r="E235" s="155">
        <v>105</v>
      </c>
      <c r="F235" s="155">
        <v>131</v>
      </c>
      <c r="G235" s="155">
        <v>158</v>
      </c>
    </row>
    <row r="236" spans="1:7" ht="14.25">
      <c r="A236" s="155" t="s">
        <v>297</v>
      </c>
      <c r="B236" s="155">
        <v>14</v>
      </c>
      <c r="C236" s="155">
        <v>39</v>
      </c>
      <c r="D236" s="155">
        <v>66</v>
      </c>
      <c r="E236" s="155">
        <v>97</v>
      </c>
      <c r="F236" s="155">
        <v>131</v>
      </c>
      <c r="G236" s="155">
        <v>167</v>
      </c>
    </row>
    <row r="237" spans="1:7" ht="14.25">
      <c r="A237" s="155" t="s">
        <v>298</v>
      </c>
      <c r="B237" s="155">
        <v>10</v>
      </c>
      <c r="C237" s="155">
        <v>33</v>
      </c>
      <c r="D237" s="155">
        <v>62</v>
      </c>
      <c r="E237" s="155">
        <v>96</v>
      </c>
      <c r="F237" s="155">
        <v>136</v>
      </c>
      <c r="G237" s="155">
        <v>181</v>
      </c>
    </row>
    <row r="238" spans="1:7" ht="14.25">
      <c r="A238" s="155" t="s">
        <v>299</v>
      </c>
      <c r="B238" s="155">
        <v>13</v>
      </c>
      <c r="C238" s="155">
        <v>41</v>
      </c>
      <c r="D238" s="155">
        <v>74</v>
      </c>
      <c r="E238" s="155">
        <v>111</v>
      </c>
      <c r="F238" s="155">
        <v>154</v>
      </c>
      <c r="G238" s="155">
        <v>201</v>
      </c>
    </row>
    <row r="239" spans="1:7" ht="14.25">
      <c r="A239" s="155" t="s">
        <v>300</v>
      </c>
      <c r="B239" s="155">
        <v>16</v>
      </c>
      <c r="C239" s="155">
        <v>47</v>
      </c>
      <c r="D239" s="155">
        <v>82</v>
      </c>
      <c r="E239" s="155">
        <v>122</v>
      </c>
      <c r="F239" s="155">
        <v>166</v>
      </c>
      <c r="G239" s="155">
        <v>214</v>
      </c>
    </row>
    <row r="240" spans="1:7" ht="14.25">
      <c r="A240" s="155" t="s">
        <v>301</v>
      </c>
      <c r="B240" s="155">
        <v>22</v>
      </c>
      <c r="C240" s="155">
        <v>59</v>
      </c>
      <c r="D240" s="155">
        <v>100</v>
      </c>
      <c r="E240" s="155">
        <v>144</v>
      </c>
      <c r="F240" s="155">
        <v>192</v>
      </c>
      <c r="G240" s="155">
        <v>243</v>
      </c>
    </row>
    <row r="241" spans="1:7" ht="14.25">
      <c r="A241" s="155" t="s">
        <v>302</v>
      </c>
      <c r="B241" s="155">
        <v>36</v>
      </c>
      <c r="C241" s="155">
        <v>86</v>
      </c>
      <c r="D241" s="155">
        <v>134</v>
      </c>
      <c r="E241" s="155">
        <v>184</v>
      </c>
      <c r="F241" s="155">
        <v>236</v>
      </c>
      <c r="G241" s="155">
        <v>290</v>
      </c>
    </row>
    <row r="242" spans="1:6" ht="14.25">
      <c r="A242" s="155" t="s">
        <v>303</v>
      </c>
      <c r="B242" s="155">
        <v>16</v>
      </c>
      <c r="C242" s="155">
        <v>40</v>
      </c>
      <c r="D242" s="155">
        <v>62</v>
      </c>
      <c r="E242" s="155">
        <v>86</v>
      </c>
      <c r="F242" s="155">
        <v>110</v>
      </c>
    </row>
    <row r="243" spans="1:6" ht="14.25">
      <c r="A243" s="155" t="s">
        <v>304</v>
      </c>
      <c r="B243" s="155">
        <v>21</v>
      </c>
      <c r="C243" s="155">
        <v>48</v>
      </c>
      <c r="D243" s="155">
        <v>73</v>
      </c>
      <c r="E243" s="155">
        <v>98</v>
      </c>
      <c r="F243" s="155">
        <v>124</v>
      </c>
    </row>
    <row r="244" spans="1:6" ht="14.25">
      <c r="A244" s="155" t="s">
        <v>305</v>
      </c>
      <c r="B244" s="155">
        <v>13</v>
      </c>
      <c r="C244" s="155">
        <v>37</v>
      </c>
      <c r="D244" s="155">
        <v>64</v>
      </c>
      <c r="E244" s="155">
        <v>95</v>
      </c>
      <c r="F244" s="155">
        <v>129</v>
      </c>
    </row>
    <row r="245" spans="1:6" ht="14.25">
      <c r="A245" s="155" t="s">
        <v>306</v>
      </c>
      <c r="B245" s="155">
        <v>9</v>
      </c>
      <c r="C245" s="155">
        <v>32</v>
      </c>
      <c r="D245" s="155">
        <v>61</v>
      </c>
      <c r="E245" s="155">
        <v>96</v>
      </c>
      <c r="F245" s="155">
        <v>138</v>
      </c>
    </row>
    <row r="246" spans="1:6" ht="14.25">
      <c r="A246" s="155" t="s">
        <v>307</v>
      </c>
      <c r="B246" s="155">
        <v>12</v>
      </c>
      <c r="C246" s="155">
        <v>39</v>
      </c>
      <c r="D246" s="155">
        <v>72</v>
      </c>
      <c r="E246" s="155">
        <v>110</v>
      </c>
      <c r="F246" s="155">
        <v>154</v>
      </c>
    </row>
    <row r="247" spans="1:6" ht="14.25">
      <c r="A247" s="155" t="s">
        <v>308</v>
      </c>
      <c r="B247" s="155">
        <v>15</v>
      </c>
      <c r="C247" s="155">
        <v>45</v>
      </c>
      <c r="D247" s="155">
        <v>80</v>
      </c>
      <c r="E247" s="155">
        <v>120</v>
      </c>
      <c r="F247" s="155">
        <v>165</v>
      </c>
    </row>
    <row r="248" spans="1:6" ht="14.25">
      <c r="A248" s="155" t="s">
        <v>309</v>
      </c>
      <c r="B248" s="155">
        <v>20</v>
      </c>
      <c r="C248" s="155">
        <v>56</v>
      </c>
      <c r="D248" s="155">
        <v>96</v>
      </c>
      <c r="E248" s="155">
        <v>139</v>
      </c>
      <c r="F248" s="155">
        <v>187</v>
      </c>
    </row>
    <row r="249" spans="1:6" ht="14.25">
      <c r="A249" s="155" t="s">
        <v>310</v>
      </c>
      <c r="B249" s="155">
        <v>32</v>
      </c>
      <c r="C249" s="155">
        <v>79</v>
      </c>
      <c r="D249" s="155">
        <v>125</v>
      </c>
      <c r="E249" s="155">
        <v>173</v>
      </c>
      <c r="F249" s="155">
        <v>223</v>
      </c>
    </row>
    <row r="250" spans="1:5" ht="14.25">
      <c r="A250" s="155" t="s">
        <v>311</v>
      </c>
      <c r="B250" s="155">
        <v>15</v>
      </c>
      <c r="C250" s="155">
        <v>36</v>
      </c>
      <c r="D250" s="155">
        <v>58</v>
      </c>
      <c r="E250" s="155">
        <v>81</v>
      </c>
    </row>
    <row r="251" spans="1:5" ht="14.25">
      <c r="A251" s="155" t="s">
        <v>312</v>
      </c>
      <c r="B251" s="155">
        <v>19</v>
      </c>
      <c r="C251" s="155">
        <v>44</v>
      </c>
      <c r="D251" s="155">
        <v>68</v>
      </c>
      <c r="E251" s="155">
        <v>92</v>
      </c>
    </row>
    <row r="252" spans="1:5" ht="14.25">
      <c r="A252" s="155" t="s">
        <v>313</v>
      </c>
      <c r="B252" s="155">
        <v>12</v>
      </c>
      <c r="C252" s="155">
        <v>35</v>
      </c>
      <c r="D252" s="155">
        <v>63</v>
      </c>
      <c r="E252" s="155">
        <v>94</v>
      </c>
    </row>
    <row r="253" spans="1:5" ht="14.25">
      <c r="A253" s="155" t="s">
        <v>314</v>
      </c>
      <c r="B253" s="155">
        <v>8</v>
      </c>
      <c r="C253" s="155">
        <v>31</v>
      </c>
      <c r="D253" s="155">
        <v>61</v>
      </c>
      <c r="E253" s="155">
        <v>98</v>
      </c>
    </row>
    <row r="254" spans="1:5" ht="14.25">
      <c r="A254" s="155" t="s">
        <v>315</v>
      </c>
      <c r="B254" s="155">
        <v>11</v>
      </c>
      <c r="C254" s="155">
        <v>38</v>
      </c>
      <c r="D254" s="155">
        <v>71</v>
      </c>
      <c r="E254" s="155">
        <v>110</v>
      </c>
    </row>
    <row r="255" spans="1:5" ht="14.25">
      <c r="A255" s="155" t="s">
        <v>316</v>
      </c>
      <c r="B255" s="155">
        <v>14</v>
      </c>
      <c r="C255" s="155">
        <v>43</v>
      </c>
      <c r="D255" s="155">
        <v>78</v>
      </c>
      <c r="E255" s="155">
        <v>118</v>
      </c>
    </row>
    <row r="256" spans="1:5" ht="14.25">
      <c r="A256" s="155" t="s">
        <v>317</v>
      </c>
      <c r="B256" s="155">
        <v>18</v>
      </c>
      <c r="C256" s="155">
        <v>53</v>
      </c>
      <c r="D256" s="155">
        <v>91</v>
      </c>
      <c r="E256" s="155">
        <v>135</v>
      </c>
    </row>
    <row r="257" spans="1:5" ht="14.25">
      <c r="A257" s="155" t="s">
        <v>318</v>
      </c>
      <c r="B257" s="155">
        <v>28</v>
      </c>
      <c r="C257" s="155">
        <v>72</v>
      </c>
      <c r="D257" s="155">
        <v>116</v>
      </c>
      <c r="E257" s="155">
        <v>162</v>
      </c>
    </row>
    <row r="258" spans="1:4" ht="14.25">
      <c r="A258" s="155" t="s">
        <v>319</v>
      </c>
      <c r="B258" s="155">
        <v>13</v>
      </c>
      <c r="C258" s="155">
        <v>33</v>
      </c>
      <c r="D258" s="155">
        <v>54</v>
      </c>
    </row>
    <row r="259" spans="1:4" ht="14.25">
      <c r="A259" s="155" t="s">
        <v>320</v>
      </c>
      <c r="B259" s="155">
        <v>16</v>
      </c>
      <c r="C259" s="155">
        <v>39</v>
      </c>
      <c r="D259" s="155">
        <v>62</v>
      </c>
    </row>
    <row r="260" spans="1:4" ht="14.25">
      <c r="A260" s="155" t="s">
        <v>321</v>
      </c>
      <c r="B260" s="155">
        <v>10</v>
      </c>
      <c r="C260" s="155">
        <v>34</v>
      </c>
      <c r="D260" s="155">
        <v>61</v>
      </c>
    </row>
    <row r="261" spans="1:4" ht="14.25">
      <c r="A261" s="155" t="s">
        <v>322</v>
      </c>
      <c r="B261" s="155">
        <v>8</v>
      </c>
      <c r="C261" s="155">
        <v>31</v>
      </c>
      <c r="D261" s="155">
        <v>61</v>
      </c>
    </row>
    <row r="262" spans="1:4" ht="14.25">
      <c r="A262" s="155" t="s">
        <v>323</v>
      </c>
      <c r="B262" s="155">
        <v>10</v>
      </c>
      <c r="C262" s="155">
        <v>37</v>
      </c>
      <c r="D262" s="155">
        <v>70</v>
      </c>
    </row>
    <row r="263" spans="1:4" ht="14.25">
      <c r="A263" s="155" t="s">
        <v>324</v>
      </c>
      <c r="B263" s="155">
        <v>12</v>
      </c>
      <c r="C263" s="155">
        <v>41</v>
      </c>
      <c r="D263" s="155">
        <v>76</v>
      </c>
    </row>
    <row r="264" spans="1:4" ht="14.25">
      <c r="A264" s="155" t="s">
        <v>325</v>
      </c>
      <c r="B264" s="155">
        <v>16</v>
      </c>
      <c r="C264" s="155">
        <v>49</v>
      </c>
      <c r="D264" s="155">
        <v>87</v>
      </c>
    </row>
    <row r="265" spans="1:4" ht="14.25">
      <c r="A265" s="155" t="s">
        <v>326</v>
      </c>
      <c r="B265" s="155">
        <v>24</v>
      </c>
      <c r="C265" s="155">
        <v>64</v>
      </c>
      <c r="D265" s="155">
        <v>106</v>
      </c>
    </row>
    <row r="266" spans="1:3" ht="14.25">
      <c r="A266" s="155" t="s">
        <v>327</v>
      </c>
      <c r="B266" s="155">
        <v>11</v>
      </c>
      <c r="C266" s="155">
        <v>30</v>
      </c>
    </row>
    <row r="267" spans="1:3" ht="14.25">
      <c r="A267" s="155" t="s">
        <v>328</v>
      </c>
      <c r="B267" s="155">
        <v>14</v>
      </c>
      <c r="C267" s="155">
        <v>35</v>
      </c>
    </row>
    <row r="268" spans="1:3" ht="14.25">
      <c r="A268" s="155" t="s">
        <v>329</v>
      </c>
      <c r="B268" s="155">
        <v>9</v>
      </c>
      <c r="C268" s="155">
        <v>32</v>
      </c>
    </row>
    <row r="269" spans="1:3" ht="14.25">
      <c r="A269" s="155" t="s">
        <v>330</v>
      </c>
      <c r="B269" s="155">
        <v>7</v>
      </c>
      <c r="C269" s="155">
        <v>30</v>
      </c>
    </row>
    <row r="270" spans="1:3" ht="14.25">
      <c r="A270" s="155" t="s">
        <v>331</v>
      </c>
      <c r="B270" s="155">
        <v>9</v>
      </c>
      <c r="C270" s="155">
        <v>35</v>
      </c>
    </row>
    <row r="271" spans="1:3" ht="14.25">
      <c r="A271" s="155" t="s">
        <v>332</v>
      </c>
      <c r="B271" s="155">
        <v>11</v>
      </c>
      <c r="C271" s="155">
        <v>39</v>
      </c>
    </row>
    <row r="272" spans="1:3" ht="14.25">
      <c r="A272" s="155" t="s">
        <v>333</v>
      </c>
      <c r="B272" s="155">
        <v>14</v>
      </c>
      <c r="C272" s="155">
        <v>46</v>
      </c>
    </row>
    <row r="273" spans="1:3" ht="14.25">
      <c r="A273" s="155" t="s">
        <v>334</v>
      </c>
      <c r="B273" s="155">
        <v>21</v>
      </c>
      <c r="C273" s="155">
        <v>57</v>
      </c>
    </row>
    <row r="274" spans="1:2" ht="14.25">
      <c r="A274" s="155" t="s">
        <v>335</v>
      </c>
      <c r="B274" s="155">
        <v>9</v>
      </c>
    </row>
    <row r="275" spans="1:2" ht="14.25">
      <c r="A275" s="155" t="s">
        <v>336</v>
      </c>
      <c r="B275" s="155">
        <v>11</v>
      </c>
    </row>
    <row r="276" spans="1:2" ht="14.25">
      <c r="A276" s="155" t="s">
        <v>337</v>
      </c>
      <c r="B276" s="155">
        <v>8</v>
      </c>
    </row>
    <row r="277" spans="1:2" ht="14.25">
      <c r="A277" s="155" t="s">
        <v>338</v>
      </c>
      <c r="B277" s="155">
        <v>7</v>
      </c>
    </row>
    <row r="278" spans="1:2" ht="14.25">
      <c r="A278" s="155" t="s">
        <v>339</v>
      </c>
      <c r="B278" s="155">
        <v>8</v>
      </c>
    </row>
    <row r="279" spans="1:2" ht="14.25">
      <c r="A279" s="155" t="s">
        <v>340</v>
      </c>
      <c r="B279" s="155">
        <v>10</v>
      </c>
    </row>
    <row r="280" spans="1:2" ht="14.25">
      <c r="A280" s="155" t="s">
        <v>341</v>
      </c>
      <c r="B280" s="155">
        <v>12</v>
      </c>
    </row>
    <row r="281" spans="1:2" ht="14.25">
      <c r="A281" s="155" t="s">
        <v>342</v>
      </c>
      <c r="B281" s="155">
        <v>16</v>
      </c>
    </row>
    <row r="282" spans="1:2" ht="14.25">
      <c r="A282" s="155" t="s">
        <v>30</v>
      </c>
      <c r="B282" s="155">
        <v>400</v>
      </c>
    </row>
    <row r="283" spans="1:2" ht="14.25">
      <c r="A283" s="155" t="s">
        <v>29</v>
      </c>
      <c r="B283" s="155">
        <v>6000</v>
      </c>
    </row>
    <row r="286" spans="2:28" ht="14.25">
      <c r="B286" s="155">
        <v>2</v>
      </c>
      <c r="C286" s="155">
        <f>B286+1</f>
        <v>3</v>
      </c>
      <c r="D286" s="155">
        <f>C286+1</f>
        <v>4</v>
      </c>
      <c r="E286" s="155">
        <f>D286+1</f>
        <v>5</v>
      </c>
      <c r="F286" s="155">
        <f>E286+1</f>
        <v>6</v>
      </c>
      <c r="G286" s="155">
        <f aca="true" t="shared" si="41" ref="G286:Q286">F286+1</f>
        <v>7</v>
      </c>
      <c r="H286" s="155">
        <f t="shared" si="41"/>
        <v>8</v>
      </c>
      <c r="I286" s="155">
        <f t="shared" si="41"/>
        <v>9</v>
      </c>
      <c r="J286" s="155">
        <f t="shared" si="41"/>
        <v>10</v>
      </c>
      <c r="K286" s="155">
        <f t="shared" si="41"/>
        <v>11</v>
      </c>
      <c r="L286" s="155">
        <f t="shared" si="41"/>
        <v>12</v>
      </c>
      <c r="M286" s="155">
        <f t="shared" si="41"/>
        <v>13</v>
      </c>
      <c r="N286" s="155">
        <f t="shared" si="41"/>
        <v>14</v>
      </c>
      <c r="O286" s="155">
        <f t="shared" si="41"/>
        <v>15</v>
      </c>
      <c r="P286" s="155">
        <f t="shared" si="41"/>
        <v>16</v>
      </c>
      <c r="Q286" s="155">
        <f t="shared" si="41"/>
        <v>17</v>
      </c>
      <c r="R286" s="155">
        <v>18</v>
      </c>
      <c r="S286" s="155">
        <v>19</v>
      </c>
      <c r="T286" s="155">
        <v>20</v>
      </c>
      <c r="U286" s="155">
        <v>21</v>
      </c>
      <c r="V286" s="155">
        <v>22</v>
      </c>
      <c r="W286" s="155">
        <v>23</v>
      </c>
      <c r="X286" s="155">
        <v>24</v>
      </c>
      <c r="Y286" s="155">
        <v>25</v>
      </c>
      <c r="Z286" s="155">
        <v>26</v>
      </c>
      <c r="AA286" s="155">
        <v>27</v>
      </c>
      <c r="AB286" s="155">
        <v>28</v>
      </c>
    </row>
    <row r="287" spans="2:28" ht="14.25">
      <c r="B287" s="155" t="str">
        <f>VLOOKUP(LANGUAGE!$C$2,$A$288:$AC$290,B286,FALSE)</f>
        <v>SPRACHE</v>
      </c>
      <c r="C287" s="155" t="str">
        <f>VLOOKUP(LANGUAGE!$C$2,$A$288:$AC$290,C286,FALSE)</f>
        <v>LEISTUNG, WATT</v>
      </c>
      <c r="D287" s="155" t="str">
        <f>VLOOKUP(LANGUAGE!$C$2,$A$288:$AC$290,D286,FALSE)</f>
        <v>OPTIONEN</v>
      </c>
      <c r="E287" s="155" t="str">
        <f>VLOOKUP(LANGUAGE!$C$2,$A$288:$AC$290,E286,FALSE)</f>
        <v>BAUHÖHE MM</v>
      </c>
      <c r="F287" s="155" t="str">
        <f>VLOOKUP(LANGUAGE!$C$2,$A$288:$AC$290,F286,FALSE)</f>
        <v>BAULÄNGE MM</v>
      </c>
      <c r="G287" s="155" t="str">
        <f>VLOOKUP(LANGUAGE!$C$2,$A$288:$AC$290,G286,FALSE)</f>
        <v> TYP</v>
      </c>
      <c r="H287" s="155" t="str">
        <f>VLOOKUP(LANGUAGE!$C$2,$A$288:$AC$290,H286,FALSE)</f>
        <v>WATT</v>
      </c>
      <c r="I287" s="155" t="str">
        <f>VLOOKUP(LANGUAGE!$C$2,$A$288:$AC$290,I286,FALSE)</f>
        <v>WÄHLEN SIE</v>
      </c>
      <c r="J287" s="155" t="str">
        <f>VLOOKUP(LANGUAGE!$C$2,$A$288:$AC$290,J286,FALSE)</f>
        <v>VORLAUF</v>
      </c>
      <c r="K287" s="155" t="str">
        <f>VLOOKUP(LANGUAGE!$C$2,$A$288:$AC$290,K286,FALSE)</f>
        <v>RÜCKLAUF</v>
      </c>
      <c r="L287" s="155" t="str">
        <f>VLOOKUP(LANGUAGE!$C$2,$A$288:$AC$290,L286,FALSE)</f>
        <v>ZIMMER</v>
      </c>
      <c r="M287" s="155" t="str">
        <f>VLOOKUP(LANGUAGE!$C$2,$A$288:$AC$290,M286,FALSE)</f>
        <v>WASSERFÜHRENDEN ROHR</v>
      </c>
      <c r="N287" s="155" t="str">
        <f>VLOOKUP(LANGUAGE!$C$2,$A$288:$AC$290,N286,FALSE)</f>
        <v>KONVEKTOR</v>
      </c>
      <c r="O287" s="155" t="str">
        <f>VLOOKUP(LANGUAGE!$C$2,$A$288:$AC$290,O286,FALSE)</f>
        <v>PLANE FRONT</v>
      </c>
      <c r="P287" s="155" t="str">
        <f>VLOOKUP(LANGUAGE!$C$2,$A$288:$AC$290,P286,FALSE)</f>
        <v>WAND</v>
      </c>
      <c r="Q287" s="155" t="str">
        <f>VLOOKUP(LANGUAGE!$C$2,$A$288:$AC$290,Q286,FALSE)</f>
        <v>TEMPERATURSATZ ºC</v>
      </c>
      <c r="R287" s="155" t="str">
        <f>VLOOKUP(LANGUAGE!$C$2,$A$288:$AC$290,R286,FALSE)</f>
        <v>SEITENROST</v>
      </c>
      <c r="S287" s="155" t="str">
        <f>VLOOKUP(LANGUAGE!$C$2,$A$288:$AC$290,S286,FALSE)</f>
        <v>BITTE BEACHTEN SIE LÄNGE PRO EINHEIT. MEHRERE EINHEITEN KÖNNEN IN SERIE MONTIERT WERDEN</v>
      </c>
      <c r="T287" s="155" t="str">
        <f>VLOOKUP(LANGUAGE!$C$2,$A$288:$AC$290,T286,FALSE)</f>
        <v>Zu hohe W</v>
      </c>
      <c r="U287" s="155" t="str">
        <f>VLOOKUP(LANGUAGE!$C$2,$A$288:$AC$290,U286,FALSE)</f>
        <v>RIPPENROHR</v>
      </c>
      <c r="V287" s="155" t="str">
        <f>VLOOKUP(LANGUAGE!$C$2,$A$288:$AC$290,V286,FALSE)</f>
        <v>PLINT</v>
      </c>
      <c r="W287" s="155" t="str">
        <f>VLOOKUP(LANGUAGE!$C$2,$A$288:$AC$290,W286,FALSE)</f>
        <v>BITTE BEACHTEN SIE, DASS DIE LEISTUNG KALKULIERT WORDEN IST</v>
      </c>
      <c r="X287" s="155" t="str">
        <f>VLOOKUP(LANGUAGE!$C$2,$A$288:$AC$290,X286,FALSE)</f>
        <v>ODER</v>
      </c>
      <c r="Y287" s="155" t="str">
        <f>VLOOKUP(LANGUAGE!$C$2,$A$288:$AC$290,Y286,FALSE)</f>
        <v>MIN.</v>
      </c>
      <c r="Z287" s="155" t="str">
        <f>VLOOKUP(LANGUAGE!$C$2,$A$288:$AC$290,Z286,FALSE)</f>
        <v>MAX.</v>
      </c>
      <c r="AA287" s="155" t="str">
        <f>VLOOKUP(LANGUAGE!$C$2,$A$288:$AC$290,AA286,FALSE)</f>
        <v>BITTE KONTAKTIEREN SIE MEINERTZ FÜR SONDERGRÖSSEN ODER SONDERAUSFÜHRUNGEN.</v>
      </c>
      <c r="AB287" s="155" t="str">
        <f>VLOOKUP(LANGUAGE!$C$2,$A$288:$AC$290,AB286,FALSE)</f>
        <v>ROSTE</v>
      </c>
    </row>
    <row r="288" spans="1:28" ht="14.25">
      <c r="A288" s="155" t="s">
        <v>22</v>
      </c>
      <c r="B288" s="155" t="s">
        <v>20</v>
      </c>
      <c r="C288" s="155" t="s">
        <v>362</v>
      </c>
      <c r="D288" s="155" t="s">
        <v>11</v>
      </c>
      <c r="E288" s="155" t="s">
        <v>370</v>
      </c>
      <c r="F288" s="155" t="s">
        <v>364</v>
      </c>
      <c r="G288" s="155" t="str">
        <f>" TYPE"</f>
        <v> TYPE</v>
      </c>
      <c r="H288" s="155" t="s">
        <v>13</v>
      </c>
      <c r="I288" s="155" t="s">
        <v>377</v>
      </c>
      <c r="J288" s="155" t="s">
        <v>14</v>
      </c>
      <c r="K288" s="155" t="s">
        <v>16</v>
      </c>
      <c r="L288" s="155" t="s">
        <v>18</v>
      </c>
      <c r="M288" s="155" t="s">
        <v>25</v>
      </c>
      <c r="N288" s="155" t="s">
        <v>343</v>
      </c>
      <c r="O288" s="155" t="s">
        <v>46</v>
      </c>
      <c r="P288" s="155" t="s">
        <v>27</v>
      </c>
      <c r="Q288" s="155" t="s">
        <v>115</v>
      </c>
      <c r="R288" s="155" t="s">
        <v>133</v>
      </c>
      <c r="S288" s="155" t="s">
        <v>136</v>
      </c>
      <c r="T288" s="155" t="s">
        <v>153</v>
      </c>
      <c r="U288" s="155" t="s">
        <v>345</v>
      </c>
      <c r="V288" s="155" t="s">
        <v>348</v>
      </c>
      <c r="W288" s="155" t="s">
        <v>353</v>
      </c>
      <c r="X288" s="155" t="s">
        <v>367</v>
      </c>
      <c r="Y288" s="155" t="s">
        <v>371</v>
      </c>
      <c r="Z288" s="155" t="s">
        <v>372</v>
      </c>
      <c r="AA288" s="155" t="s">
        <v>374</v>
      </c>
      <c r="AB288" s="155" t="s">
        <v>403</v>
      </c>
    </row>
    <row r="289" spans="1:28" ht="14.25">
      <c r="A289" s="155" t="s">
        <v>23</v>
      </c>
      <c r="B289" s="155" t="s">
        <v>21</v>
      </c>
      <c r="C289" s="155" t="s">
        <v>363</v>
      </c>
      <c r="D289" s="155" t="s">
        <v>12</v>
      </c>
      <c r="E289" s="155" t="s">
        <v>366</v>
      </c>
      <c r="F289" s="155" t="s">
        <v>365</v>
      </c>
      <c r="G289" s="155" t="str">
        <f>"TYPE"</f>
        <v>TYPE</v>
      </c>
      <c r="H289" s="155" t="s">
        <v>13</v>
      </c>
      <c r="I289" s="155" t="s">
        <v>378</v>
      </c>
      <c r="J289" s="155" t="s">
        <v>15</v>
      </c>
      <c r="K289" s="155" t="s">
        <v>17</v>
      </c>
      <c r="L289" s="155" t="s">
        <v>19</v>
      </c>
      <c r="M289" s="155" t="s">
        <v>26</v>
      </c>
      <c r="N289" s="155" t="s">
        <v>24</v>
      </c>
      <c r="O289" s="155" t="s">
        <v>45</v>
      </c>
      <c r="P289" s="155" t="s">
        <v>28</v>
      </c>
      <c r="Q289" s="155" t="s">
        <v>116</v>
      </c>
      <c r="R289" s="155" t="s">
        <v>132</v>
      </c>
      <c r="S289" s="155" t="s">
        <v>135</v>
      </c>
      <c r="T289" s="155" t="s">
        <v>152</v>
      </c>
      <c r="U289" s="155" t="s">
        <v>344</v>
      </c>
      <c r="V289" s="155" t="s">
        <v>347</v>
      </c>
      <c r="W289" s="155" t="s">
        <v>354</v>
      </c>
      <c r="X289" s="155" t="s">
        <v>368</v>
      </c>
      <c r="Y289" s="155" t="s">
        <v>371</v>
      </c>
      <c r="Z289" s="155" t="s">
        <v>373</v>
      </c>
      <c r="AA289" s="155" t="s">
        <v>375</v>
      </c>
      <c r="AB289" s="155" t="s">
        <v>404</v>
      </c>
    </row>
    <row r="290" spans="1:28" ht="15">
      <c r="A290" s="155" t="s">
        <v>32</v>
      </c>
      <c r="B290" s="155" t="s">
        <v>33</v>
      </c>
      <c r="C290" s="161" t="s">
        <v>361</v>
      </c>
      <c r="D290" s="161" t="s">
        <v>34</v>
      </c>
      <c r="E290" s="161" t="s">
        <v>380</v>
      </c>
      <c r="F290" s="161" t="s">
        <v>381</v>
      </c>
      <c r="G290" s="161" t="str">
        <f>" TYP"</f>
        <v> TYP</v>
      </c>
      <c r="H290" s="161" t="s">
        <v>13</v>
      </c>
      <c r="I290" s="161" t="s">
        <v>379</v>
      </c>
      <c r="J290" s="161" t="s">
        <v>35</v>
      </c>
      <c r="K290" s="161" t="s">
        <v>36</v>
      </c>
      <c r="L290" s="161" t="s">
        <v>37</v>
      </c>
      <c r="M290" s="161" t="s">
        <v>382</v>
      </c>
      <c r="N290" s="161" t="s">
        <v>24</v>
      </c>
      <c r="O290" s="161" t="s">
        <v>383</v>
      </c>
      <c r="P290" s="161" t="s">
        <v>384</v>
      </c>
      <c r="Q290" s="161" t="s">
        <v>134</v>
      </c>
      <c r="R290" s="161" t="s">
        <v>385</v>
      </c>
      <c r="S290" s="161" t="s">
        <v>386</v>
      </c>
      <c r="T290" s="161" t="s">
        <v>387</v>
      </c>
      <c r="U290" s="161" t="s">
        <v>346</v>
      </c>
      <c r="V290" s="161" t="s">
        <v>347</v>
      </c>
      <c r="W290" s="161" t="s">
        <v>388</v>
      </c>
      <c r="X290" s="155" t="s">
        <v>369</v>
      </c>
      <c r="Y290" s="155" t="s">
        <v>371</v>
      </c>
      <c r="Z290" s="155" t="s">
        <v>372</v>
      </c>
      <c r="AA290" s="155" t="s">
        <v>376</v>
      </c>
      <c r="AB290" s="155" t="s">
        <v>405</v>
      </c>
    </row>
  </sheetData>
  <sheetProtection password="CF4F" sheet="1" objects="1" scenarios="1" selectLockedCells="1" selectUnlockedCells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60"/>
  <sheetViews>
    <sheetView showGridLines="0" tabSelected="1" zoomScalePageLayoutView="0" workbookViewId="0" topLeftCell="A1">
      <selection activeCell="B6" sqref="B6"/>
    </sheetView>
  </sheetViews>
  <sheetFormatPr defaultColWidth="9.140625" defaultRowHeight="15"/>
  <cols>
    <col min="1" max="1" width="24.28125" style="1" customWidth="1"/>
    <col min="2" max="2" width="9.28125" style="1" customWidth="1"/>
    <col min="3" max="3" width="2.8515625" style="2" customWidth="1"/>
    <col min="4" max="9" width="2.140625" style="1" customWidth="1"/>
    <col min="10" max="10" width="0.9921875" style="1" customWidth="1"/>
    <col min="11" max="11" width="2.140625" style="1" customWidth="1"/>
    <col min="12" max="12" width="20.7109375" style="1" customWidth="1"/>
    <col min="13" max="13" width="18.57421875" style="1" customWidth="1"/>
    <col min="14" max="14" width="9.28125" style="1" customWidth="1"/>
    <col min="15" max="15" width="18.57421875" style="7" customWidth="1"/>
    <col min="16" max="16" width="9.28125" style="1" customWidth="1"/>
    <col min="17" max="17" width="9.140625" style="1" customWidth="1"/>
    <col min="18" max="18" width="15.00390625" style="1" hidden="1" customWidth="1"/>
    <col min="19" max="19" width="5.140625" style="1" customWidth="1"/>
    <col min="20" max="21" width="12.57421875" style="1" customWidth="1"/>
    <col min="22" max="24" width="9.140625" style="1" customWidth="1"/>
    <col min="25" max="25" width="10.7109375" style="1" customWidth="1"/>
    <col min="26" max="26" width="4.28125" style="1" customWidth="1"/>
    <col min="27" max="16384" width="9.140625" style="1" customWidth="1"/>
  </cols>
  <sheetData>
    <row r="1" ht="15" thickBot="1"/>
    <row r="2" spans="12:16" ht="26.25" thickBot="1">
      <c r="L2" s="188" t="str">
        <f>Data!D287&amp;":"</f>
        <v>OPTIONEN:</v>
      </c>
      <c r="M2" s="189"/>
      <c r="N2" s="189"/>
      <c r="O2" s="189"/>
      <c r="P2" s="190"/>
    </row>
    <row r="3" spans="12:16" ht="15" customHeight="1" thickBot="1">
      <c r="L3" s="153" t="str">
        <f>Data!$N$287&amp;Data!$G$287</f>
        <v>KONVEKTOR TYP</v>
      </c>
      <c r="M3" s="111" t="str">
        <f>Data!$F$287</f>
        <v>BAULÄNGE MM</v>
      </c>
      <c r="N3" s="112" t="str">
        <f>Data!$H$287</f>
        <v>WATT</v>
      </c>
      <c r="O3" s="84" t="str">
        <f>Data!$F$287</f>
        <v>BAULÄNGE MM</v>
      </c>
      <c r="P3" s="85" t="str">
        <f>Data!$H$287</f>
        <v>WATT</v>
      </c>
    </row>
    <row r="4" spans="1:19" ht="15" customHeight="1" thickBot="1">
      <c r="A4" s="1" t="str">
        <f>Data!J287&amp;":"</f>
        <v>VORLAUF:</v>
      </c>
      <c r="B4" s="77">
        <v>75</v>
      </c>
      <c r="C4" s="3"/>
      <c r="E4" s="4"/>
      <c r="I4" s="26"/>
      <c r="J4" s="19"/>
      <c r="K4" s="36"/>
      <c r="L4" s="78" t="str">
        <f>INDEX(Convectors,1,R4-2)&amp;" "&amp;IF($B$43=70,0,"")&amp;$B$43/10&amp;INDEX(Convectors,2,R4-2)</f>
        <v>CL/TL 4910</v>
      </c>
      <c r="M4" s="79">
        <f>IF(AND(L4&lt;&gt;"",ISNUMBER(VLOOKUP($B$43,OUTPUT2,$R4,FALSE))=TRUE),IF(ROUNDUP($B$47/VLOOKUP($B$43,OUTPUT2,$R4,FALSE),1)*1000&lt;Data!$B$20,Data!$B$20,IF(ROUNDUP($B$47/VLOOKUP($B$43,OUTPUT2,$R4,FALSE),1)*1000&gt;Data!$B$21-IF(MID(L4,2,1)="F",Data!$D$21,0),"",ROUNDUP($B$47/VLOOKUP($B$43,OUTPUT2,$R4,FALSE),1)*1000)),"")</f>
        <v>1900.0000000000002</v>
      </c>
      <c r="N4" s="79">
        <f>IF($M4="","",ROUND(($M4/1000)*VLOOKUP($B$43,OUTPUT2,$R4,FALSE),0))</f>
        <v>1022</v>
      </c>
      <c r="O4" s="86">
        <f>IF(AND($B$51&gt;=Data!$B$20,$B$51&lt;=Data!$B$21-IF(MID(L4,2,1)="F",Data!$D$21,0)),$B$51,"")</f>
        <v>1200</v>
      </c>
      <c r="P4" s="87">
        <f>IF($O4="","",ROUND(($O4/1000)*VLOOKUP($B$43,OUTPUT2,$R4,FALSE),0))</f>
        <v>646</v>
      </c>
      <c r="R4" s="1">
        <v>3</v>
      </c>
      <c r="S4" s="69"/>
    </row>
    <row r="5" spans="2:16" ht="3" customHeight="1" thickBot="1">
      <c r="B5" s="3"/>
      <c r="C5" s="3"/>
      <c r="E5" s="4"/>
      <c r="I5" s="17"/>
      <c r="J5" s="15"/>
      <c r="K5" s="15"/>
      <c r="L5" s="80"/>
      <c r="M5" s="81"/>
      <c r="N5" s="81"/>
      <c r="O5" s="88"/>
      <c r="P5" s="89"/>
    </row>
    <row r="6" spans="1:19" ht="15" customHeight="1" thickBot="1">
      <c r="A6" s="1" t="str">
        <f>Data!K287&amp;":"</f>
        <v>RÜCKLAUF:</v>
      </c>
      <c r="B6" s="77">
        <v>65</v>
      </c>
      <c r="C6" s="3"/>
      <c r="E6" s="4"/>
      <c r="I6" s="26"/>
      <c r="J6" s="19"/>
      <c r="K6" s="36"/>
      <c r="L6" s="80" t="str">
        <f>INDEX(Convectors,1,R6-2)&amp;" "&amp;IF($B$43=70,0,"")&amp;$B$43/10&amp;INDEX(Convectors,2,R6-2)</f>
        <v>TX 4910</v>
      </c>
      <c r="M6" s="81">
        <f>IF(AND(L6&lt;&gt;"",ISNUMBER(VLOOKUP($B$43,OUTPUT2,$R6,FALSE))=TRUE),IF(ROUNDUP($B$47/VLOOKUP($B$43,OUTPUT2,$R6,FALSE),1)*1000&lt;Data!$B$20,Data!$B$20,IF(ROUNDUP($B$47/VLOOKUP($B$43,OUTPUT2,$R6,FALSE),1)*1000&gt;Data!$B$21-IF(MID(L6,2,1)="F",Data!$D$21,0),"",ROUNDUP($B$47/VLOOKUP($B$43,OUTPUT2,$R6,FALSE),1)*1000)),"")</f>
        <v>2000</v>
      </c>
      <c r="N6" s="81">
        <f>IF($M6="","",ROUND(($M6/1000)*VLOOKUP($B$43,OUTPUT2,$R6,FALSE),0))</f>
        <v>1044</v>
      </c>
      <c r="O6" s="88">
        <f>IF(AND($B$51&gt;=Data!$B$20,$B$51&lt;=Data!$B$21-IF(MID(L6,2,1)="F",Data!$D$21,0)),$B$51,"")</f>
        <v>1200</v>
      </c>
      <c r="P6" s="89">
        <f>IF($O6="","",ROUND(($O6/1000)*VLOOKUP($B$43,OUTPUT2,$R6,FALSE),0))</f>
        <v>626</v>
      </c>
      <c r="R6" s="1">
        <f>R4+1</f>
        <v>4</v>
      </c>
      <c r="S6" s="69"/>
    </row>
    <row r="7" spans="3:16" ht="3" customHeight="1" thickBot="1">
      <c r="C7" s="3"/>
      <c r="E7" s="4"/>
      <c r="I7" s="17"/>
      <c r="J7" s="15"/>
      <c r="K7" s="15"/>
      <c r="L7" s="80"/>
      <c r="M7" s="81"/>
      <c r="N7" s="81"/>
      <c r="O7" s="88"/>
      <c r="P7" s="89"/>
    </row>
    <row r="8" spans="1:19" ht="15" customHeight="1" thickBot="1">
      <c r="A8" s="1" t="str">
        <f>Data!L287&amp;":"</f>
        <v>ZIMMER:</v>
      </c>
      <c r="B8" s="77">
        <v>20</v>
      </c>
      <c r="C8" s="3"/>
      <c r="E8" s="4"/>
      <c r="H8" s="15"/>
      <c r="I8" s="29"/>
      <c r="J8" s="24"/>
      <c r="K8" s="36"/>
      <c r="L8" s="80" t="str">
        <f>INDEX(Convectors,1,R8-2)&amp;" "&amp;IF($B$43=70,0,"")&amp;$B$43/10&amp;INDEX(Convectors,2,R8-2)</f>
        <v>TF 4910</v>
      </c>
      <c r="M8" s="81">
        <f>IF(AND(L8&lt;&gt;"",ISNUMBER(VLOOKUP($B$43,OUTPUT2,$R8,FALSE))=TRUE),IF(ROUNDUP($B$47/VLOOKUP($B$43,OUTPUT2,$R8,FALSE),1)*1000&lt;Data!$B$20,Data!$B$20,IF(ROUNDUP($B$47/VLOOKUP($B$43,OUTPUT2,$R8,FALSE),1)*1000&gt;Data!$B$21-IF(MID(L8,2,1)="F",Data!$D$21,0),"",ROUNDUP($B$47/VLOOKUP($B$43,OUTPUT2,$R8,FALSE),1)*1000)),"")</f>
        <v>2300.0000000000005</v>
      </c>
      <c r="N8" s="81">
        <f>IF($M8="","",ROUND(($M8/1000)*VLOOKUP($B$43,OUTPUT2,$R8,FALSE),0))</f>
        <v>1014</v>
      </c>
      <c r="O8" s="88">
        <f>IF(AND($B$51&gt;=Data!$B$20,$B$51&lt;=Data!$B$21-IF(MID(L8,2,1)="F",Data!$D$21,0)),$B$51,"")</f>
        <v>1200</v>
      </c>
      <c r="P8" s="89">
        <f>IF($O8="","",ROUND(($O8/1000)*VLOOKUP($B$43,OUTPUT2,$R8,FALSE),0))</f>
        <v>529</v>
      </c>
      <c r="R8" s="1">
        <f>R6+1</f>
        <v>5</v>
      </c>
      <c r="S8" s="69"/>
    </row>
    <row r="9" spans="12:16" ht="3" customHeight="1">
      <c r="L9" s="80"/>
      <c r="M9" s="81"/>
      <c r="N9" s="81"/>
      <c r="O9" s="88"/>
      <c r="P9" s="89"/>
    </row>
    <row r="10" spans="3:19" ht="15" customHeight="1">
      <c r="C10" s="3"/>
      <c r="H10" s="15"/>
      <c r="I10" s="21"/>
      <c r="J10" s="15"/>
      <c r="K10" s="36"/>
      <c r="L10" s="80" t="str">
        <f>INDEX(Convectors,1,R10-2)&amp;" "&amp;IF($B$43=70,0,"")&amp;$B$43/10&amp;INDEX(Convectors,2,R10-2)</f>
        <v>CL/TL 4911</v>
      </c>
      <c r="M10" s="81">
        <f>IF(AND(L10&lt;&gt;"",ISNUMBER(VLOOKUP($B$43,OUTPUT2,$R10,FALSE))=TRUE),IF(ROUNDUP($B$47/VLOOKUP($B$43,OUTPUT2,$R10,FALSE),1)*1000&lt;Data!$B$20,Data!$B$20,IF(ROUNDUP($B$47/VLOOKUP($B$43,OUTPUT2,$R10,FALSE),1)*1000&gt;Data!$B$21-IF(MID(L10,2,1)="F",Data!$D$21,0),"",ROUNDUP($B$47/VLOOKUP($B$43,OUTPUT2,$R10,FALSE),1)*1000)),"")</f>
        <v>1500</v>
      </c>
      <c r="N10" s="81">
        <f>IF($M10="","",ROUND(($M10/1000)*VLOOKUP($B$43,OUTPUT2,$R10,FALSE),0))</f>
        <v>1065</v>
      </c>
      <c r="O10" s="88">
        <f>IF(AND($B$51&gt;=Data!$B$20,$B$51&lt;=Data!$B$21-IF(MID(L10,2,1)="F",Data!$D$21,0)),$B$51,"")</f>
        <v>1200</v>
      </c>
      <c r="P10" s="89">
        <f>IF($O10="","",ROUND(($O10/1000)*VLOOKUP($B$43,OUTPUT2,$R10,FALSE),0))</f>
        <v>852</v>
      </c>
      <c r="R10" s="1">
        <f>R8+1</f>
        <v>6</v>
      </c>
      <c r="S10" s="69"/>
    </row>
    <row r="11" spans="2:16" ht="3" customHeight="1" thickBot="1">
      <c r="B11" s="7"/>
      <c r="C11" s="8"/>
      <c r="I11" s="17"/>
      <c r="L11" s="80"/>
      <c r="M11" s="81"/>
      <c r="N11" s="81"/>
      <c r="O11" s="88"/>
      <c r="P11" s="89"/>
    </row>
    <row r="12" spans="3:19" ht="15" customHeight="1">
      <c r="C12" s="3"/>
      <c r="H12" s="15"/>
      <c r="I12" s="21"/>
      <c r="J12" s="15"/>
      <c r="K12" s="36"/>
      <c r="L12" s="80" t="str">
        <f>INDEX(Convectors,1,R12-2)&amp;" "&amp;IF($B$43=70,0,"")&amp;$B$43/10&amp;INDEX(Convectors,2,R12-2)</f>
        <v>TX 4911</v>
      </c>
      <c r="M12" s="81">
        <f>IF(AND(L12&lt;&gt;"",ISNUMBER(VLOOKUP($B$43,OUTPUT2,$R12,FALSE))=TRUE),IF(ROUNDUP($B$47/VLOOKUP($B$43,OUTPUT2,$R12,FALSE),1)*1000&lt;Data!$B$20,Data!$B$20,IF(ROUNDUP($B$47/VLOOKUP($B$43,OUTPUT2,$R12,FALSE),1)*1000&gt;Data!$B$21-IF(MID(L12,2,1)="F",Data!$D$21,0),"",ROUNDUP($B$47/VLOOKUP($B$43,OUTPUT2,$R12,FALSE),1)*1000)),"")</f>
        <v>1500</v>
      </c>
      <c r="N12" s="81">
        <f>IF($M12="","",ROUND(($M12/1000)*VLOOKUP($B$43,OUTPUT2,$R12,FALSE),0))</f>
        <v>1025</v>
      </c>
      <c r="O12" s="88">
        <f>IF(AND($B$51&gt;=Data!$B$20,$B$51&lt;=Data!$B$21-IF(MID(L12,2,1)="F",Data!$D$21,0)),$B$51,"")</f>
        <v>1200</v>
      </c>
      <c r="P12" s="89">
        <f>IF($O12="","",ROUND(($O12/1000)*VLOOKUP($B$43,OUTPUT2,$R12,FALSE),0))</f>
        <v>820</v>
      </c>
      <c r="R12" s="1">
        <f>R10+1</f>
        <v>7</v>
      </c>
      <c r="S12" s="69"/>
    </row>
    <row r="13" spans="2:16" ht="3" customHeight="1" thickBot="1">
      <c r="B13" s="7"/>
      <c r="C13" s="8"/>
      <c r="I13" s="17"/>
      <c r="L13" s="80"/>
      <c r="M13" s="81"/>
      <c r="N13" s="81"/>
      <c r="O13" s="88"/>
      <c r="P13" s="89"/>
    </row>
    <row r="14" spans="2:19" ht="15" customHeight="1">
      <c r="B14" s="7"/>
      <c r="C14" s="8"/>
      <c r="I14" s="28"/>
      <c r="J14" s="24"/>
      <c r="K14" s="36"/>
      <c r="L14" s="80" t="str">
        <f>INDEX(Convectors,1,R14-2)&amp;" "&amp;IF($B$43=70,0,"")&amp;$B$43/10&amp;INDEX(Convectors,2,R14-2)</f>
        <v>TF 4911</v>
      </c>
      <c r="M14" s="81">
        <f>IF(AND(L14&lt;&gt;"",ISNUMBER(VLOOKUP($B$43,OUTPUT2,$R14,FALSE))=TRUE),IF(ROUNDUP($B$47/VLOOKUP($B$43,OUTPUT2,$R14,FALSE),1)*1000&lt;Data!$B$20,Data!$B$20,IF(ROUNDUP($B$47/VLOOKUP($B$43,OUTPUT2,$R14,FALSE),1)*1000&gt;Data!$B$21-IF(MID(L14,2,1)="F",Data!$D$21,0),"",ROUNDUP($B$47/VLOOKUP($B$43,OUTPUT2,$R14,FALSE),1)*1000)),"")</f>
        <v>1800</v>
      </c>
      <c r="N14" s="81">
        <f>IF($M14="","",ROUND(($M14/1000)*VLOOKUP($B$43,OUTPUT2,$R14,FALSE),0))</f>
        <v>1048</v>
      </c>
      <c r="O14" s="88">
        <f>IF(AND($B$51&gt;=Data!$B$20,$B$51&lt;=Data!$B$21-IF(MID(L14,2,1)="F",Data!$D$21,0)),$B$51,"")</f>
        <v>1200</v>
      </c>
      <c r="P14" s="89">
        <f>IF($O14="","",ROUND(($O14/1000)*VLOOKUP($B$43,OUTPUT2,$R14,FALSE),0))</f>
        <v>698</v>
      </c>
      <c r="R14" s="1">
        <f>R12+1</f>
        <v>8</v>
      </c>
      <c r="S14" s="69"/>
    </row>
    <row r="15" spans="2:16" ht="3" customHeight="1">
      <c r="B15" s="7"/>
      <c r="C15" s="8"/>
      <c r="L15" s="80"/>
      <c r="M15" s="81"/>
      <c r="N15" s="81"/>
      <c r="O15" s="88"/>
      <c r="P15" s="89"/>
    </row>
    <row r="16" spans="3:26" ht="15" customHeight="1">
      <c r="C16" s="3"/>
      <c r="H16" s="16"/>
      <c r="I16" s="20"/>
      <c r="J16" s="15"/>
      <c r="K16" s="36"/>
      <c r="L16" s="80" t="str">
        <f>INDEX(Convectors,1,R16-2)&amp;" "&amp;IF($B$43=70,0,"")&amp;$B$43/10&amp;INDEX(Convectors,2,R16-2)</f>
        <v>CL 4912</v>
      </c>
      <c r="M16" s="81">
        <f>IF(AND(L16&lt;&gt;"",ISNUMBER(VLOOKUP($B$43,OUTPUT2,$R16,FALSE))=TRUE),IF(ROUNDUP($B$47/VLOOKUP($B$43,OUTPUT2,$R16,FALSE),1)*1000&lt;Data!$B$20,Data!$B$20,IF(ROUNDUP($B$47/VLOOKUP($B$43,OUTPUT2,$R16,FALSE),1)*1000&gt;Data!$B$21-IF(MID(L16,2,1)="F",Data!$D$21,0),"",ROUNDUP($B$47/VLOOKUP($B$43,OUTPUT2,$R16,FALSE),1)*1000)),"")</f>
        <v>900</v>
      </c>
      <c r="N16" s="81">
        <f>IF($M16="","",ROUND(($M16/1000)*VLOOKUP($B$43,OUTPUT2,$R16,FALSE),0))</f>
        <v>1002</v>
      </c>
      <c r="O16" s="88">
        <f>IF(AND($B$51&gt;=Data!$B$20,$B$51&lt;=Data!$B$21-IF(MID(L16,2,1)="F",Data!$D$21,0)),$B$51,"")</f>
        <v>1200</v>
      </c>
      <c r="P16" s="89">
        <f>IF($O16="","",ROUND(($O16/1000)*VLOOKUP($B$43,OUTPUT2,$R16,FALSE),0))</f>
        <v>1336</v>
      </c>
      <c r="R16" s="1">
        <f>R14+1</f>
        <v>9</v>
      </c>
      <c r="S16" s="69"/>
      <c r="Y16" s="9"/>
      <c r="Z16" s="4"/>
    </row>
    <row r="17" spans="8:16" ht="3" customHeight="1" thickBot="1">
      <c r="H17" s="17"/>
      <c r="I17" s="17"/>
      <c r="L17" s="80"/>
      <c r="M17" s="81"/>
      <c r="N17" s="81"/>
      <c r="O17" s="88"/>
      <c r="P17" s="89"/>
    </row>
    <row r="18" spans="8:19" ht="15" customHeight="1">
      <c r="H18" s="28"/>
      <c r="I18" s="20"/>
      <c r="J18" s="15"/>
      <c r="K18" s="36"/>
      <c r="L18" s="80" t="str">
        <f>INDEX(Convectors,1,R18-2)&amp;" "&amp;IF($B$43=70,0,"")&amp;$B$43/10&amp;INDEX(Convectors,2,R18-2)</f>
        <v>TF 4912</v>
      </c>
      <c r="M18" s="81">
        <f>IF(AND(L18&lt;&gt;"",ISNUMBER(VLOOKUP($B$43,OUTPUT2,$R18,FALSE))=TRUE),IF(ROUNDUP($B$47/VLOOKUP($B$43,OUTPUT2,$R18,FALSE),1)*1000&lt;Data!$B$20,Data!$B$20,IF(ROUNDUP($B$47/VLOOKUP($B$43,OUTPUT2,$R18,FALSE),1)*1000&gt;Data!$B$21-IF(MID(L18,2,1)="F",Data!$D$21,0),"",ROUNDUP($B$47/VLOOKUP($B$43,OUTPUT2,$R18,FALSE),1)*1000)),"")</f>
        <v>1100</v>
      </c>
      <c r="N18" s="81">
        <f>IF($M18="","",ROUND(($M18/1000)*VLOOKUP($B$43,OUTPUT2,$R18,FALSE),0))</f>
        <v>1004</v>
      </c>
      <c r="O18" s="88">
        <f>IF(AND($B$51&gt;=Data!$B$20,$B$51&lt;=Data!$B$21-IF(MID(L18,2,1)="F",Data!$D$21,0)),$B$51,"")</f>
        <v>1200</v>
      </c>
      <c r="P18" s="89">
        <f>IF($O18="","",ROUND(($O18/1000)*VLOOKUP($B$43,OUTPUT2,$R18,FALSE),0))</f>
        <v>1096</v>
      </c>
      <c r="R18" s="1">
        <f>R16+1</f>
        <v>10</v>
      </c>
      <c r="S18" s="69"/>
    </row>
    <row r="19" spans="9:16" ht="3" customHeight="1" thickBot="1">
      <c r="I19" s="17"/>
      <c r="L19" s="80"/>
      <c r="M19" s="81"/>
      <c r="N19" s="81"/>
      <c r="O19" s="88"/>
      <c r="P19" s="89"/>
    </row>
    <row r="20" spans="9:19" ht="15" customHeight="1">
      <c r="I20" s="21"/>
      <c r="J20" s="24"/>
      <c r="K20" s="36"/>
      <c r="L20" s="80" t="str">
        <f>INDEX(Convectors,1,R20-2)&amp;" "&amp;IF($B$43=70,0,"")&amp;$B$43/10&amp;INDEX(Convectors,2,R20-2)</f>
        <v>TS 4920</v>
      </c>
      <c r="M20" s="81">
        <f>IF(AND(L20&lt;&gt;"",ISNUMBER(VLOOKUP($B$43,OUTPUT2,$R20,FALSE))=TRUE),IF(ROUNDUP($B$47/VLOOKUP($B$43,OUTPUT2,$R20,FALSE),1)*1000&lt;Data!$B$20,Data!$B$20,IF(ROUNDUP($B$47/VLOOKUP($B$43,OUTPUT2,$R20,FALSE),1)*1000&gt;Data!$B$21-IF(MID(L20,2,1)="F",Data!$D$21,0),"",ROUNDUP($B$47/VLOOKUP($B$43,OUTPUT2,$R20,FALSE),1)*1000)),"")</f>
        <v>1100</v>
      </c>
      <c r="N20" s="81">
        <f>IF($M20="","",ROUND(($M20/1000)*VLOOKUP($B$43,OUTPUT2,$R20,FALSE),0))</f>
        <v>1062</v>
      </c>
      <c r="O20" s="88">
        <f>IF(AND($B$51&gt;=Data!$B$20,$B$51&lt;=Data!$B$21-IF(MID(L20,2,1)="F",Data!$D$21,0)),$B$51,"")</f>
        <v>1200</v>
      </c>
      <c r="P20" s="89">
        <f>IF($O20="","",ROUND(($O20/1000)*VLOOKUP($B$43,OUTPUT2,$R20,FALSE),0))</f>
        <v>1158</v>
      </c>
      <c r="R20" s="1">
        <f>R18+1</f>
        <v>11</v>
      </c>
      <c r="S20" s="69"/>
    </row>
    <row r="21" spans="12:16" ht="3" customHeight="1">
      <c r="L21" s="80"/>
      <c r="M21" s="81"/>
      <c r="N21" s="81"/>
      <c r="O21" s="88"/>
      <c r="P21" s="89"/>
    </row>
    <row r="22" spans="2:19" ht="15" customHeight="1">
      <c r="B22" s="10"/>
      <c r="C22" s="11"/>
      <c r="G22" s="15"/>
      <c r="H22" s="21"/>
      <c r="I22" s="16"/>
      <c r="J22" s="24"/>
      <c r="K22" s="36"/>
      <c r="L22" s="80" t="str">
        <f>INDEX(Convectors,1,R22-2)&amp;" "&amp;IF($B$43=70,0,"")&amp;$B$43/10&amp;INDEX(Convectors,2,R22-2)</f>
        <v>CL/TL 4920</v>
      </c>
      <c r="M22" s="81">
        <f>IF(AND(L22&lt;&gt;"",ISNUMBER(VLOOKUP($B$43,OUTPUT2,$R22,FALSE))=TRUE),IF(ROUNDUP($B$47/VLOOKUP($B$43,OUTPUT2,$R22,FALSE),1)*1000&lt;Data!$B$20,Data!$B$20,IF(ROUNDUP($B$47/VLOOKUP($B$43,OUTPUT2,$R22,FALSE),1)*1000&gt;Data!$B$21-IF(MID(L22,2,1)="F",Data!$D$21,0),"",ROUNDUP($B$47/VLOOKUP($B$43,OUTPUT2,$R22,FALSE),1)*1000)),"")</f>
        <v>799.9999999999999</v>
      </c>
      <c r="N22" s="81">
        <f>IF($M22="","",ROUND(($M22/1000)*VLOOKUP($B$43,OUTPUT2,$R22,FALSE),0))</f>
        <v>1095</v>
      </c>
      <c r="O22" s="88">
        <f>IF(AND($B$51&gt;=Data!$B$20,$B$51&lt;=Data!$B$21-IF(MID(L22,2,1)="F",Data!$D$21,0)),$B$51,"")</f>
        <v>1200</v>
      </c>
      <c r="P22" s="89">
        <f>IF($O22="","",ROUND(($O22/1000)*VLOOKUP($B$43,OUTPUT2,$R22,FALSE),0))</f>
        <v>1643</v>
      </c>
      <c r="R22" s="1">
        <f>R20+1</f>
        <v>12</v>
      </c>
      <c r="S22" s="69"/>
    </row>
    <row r="23" spans="8:16" ht="3" customHeight="1" thickBot="1">
      <c r="H23" s="17"/>
      <c r="I23" s="17"/>
      <c r="L23" s="80"/>
      <c r="M23" s="81"/>
      <c r="N23" s="81"/>
      <c r="O23" s="88"/>
      <c r="P23" s="89"/>
    </row>
    <row r="24" spans="2:19" ht="15" customHeight="1">
      <c r="B24" s="10"/>
      <c r="C24" s="11"/>
      <c r="G24" s="15"/>
      <c r="H24" s="21"/>
      <c r="I24" s="16"/>
      <c r="J24" s="24"/>
      <c r="K24" s="36"/>
      <c r="L24" s="80" t="str">
        <f>INDEX(Convectors,1,R24-2)&amp;" "&amp;IF($B$43=70,0,"")&amp;$B$43/10&amp;INDEX(Convectors,2,R24-2)</f>
        <v>CX/TX 4920</v>
      </c>
      <c r="M24" s="81">
        <f>IF(AND(L24&lt;&gt;"",ISNUMBER(VLOOKUP($B$43,OUTPUT2,$R24,FALSE))=TRUE),IF(ROUNDUP($B$47/VLOOKUP($B$43,OUTPUT2,$R24,FALSE),1)*1000&lt;Data!$B$20,Data!$B$20,IF(ROUNDUP($B$47/VLOOKUP($B$43,OUTPUT2,$R24,FALSE),1)*1000&gt;Data!$B$21-IF(MID(L24,2,1)="F",Data!$D$21,0),"",ROUNDUP($B$47/VLOOKUP($B$43,OUTPUT2,$R24,FALSE),1)*1000)),"")</f>
        <v>799.9999999999999</v>
      </c>
      <c r="N24" s="81">
        <f>IF($M24="","",ROUND(($M24/1000)*VLOOKUP($B$43,OUTPUT2,$R24,FALSE),0))</f>
        <v>1043</v>
      </c>
      <c r="O24" s="88">
        <f>IF(AND($B$51&gt;=Data!$B$20,$B$51&lt;=Data!$B$21-IF(MID(L24,2,1)="F",Data!$D$21,0)),$B$51,"")</f>
        <v>1200</v>
      </c>
      <c r="P24" s="89">
        <f>IF($O24="","",ROUND(($O24/1000)*VLOOKUP($B$43,OUTPUT2,$R24,FALSE),0))</f>
        <v>1565</v>
      </c>
      <c r="R24" s="1">
        <f>R22+1</f>
        <v>13</v>
      </c>
      <c r="S24" s="69"/>
    </row>
    <row r="25" spans="12:16" ht="3" customHeight="1">
      <c r="L25" s="80"/>
      <c r="M25" s="81"/>
      <c r="N25" s="81"/>
      <c r="O25" s="88"/>
      <c r="P25" s="89"/>
    </row>
    <row r="26" spans="6:19" ht="15" customHeight="1">
      <c r="F26" s="15"/>
      <c r="G26" s="21"/>
      <c r="H26" s="16"/>
      <c r="I26" s="20"/>
      <c r="J26" s="19"/>
      <c r="L26" s="80" t="str">
        <f>INDEX(Convectors,1,R26-2)&amp;" "&amp;IF($B$43=70,0,"")&amp;$B$43/10&amp;INDEX(Convectors,2,R26-2)</f>
        <v>CL/TL 4921</v>
      </c>
      <c r="M26" s="81">
        <f>IF(AND(L26&lt;&gt;"",ISNUMBER(VLOOKUP($B$43,OUTPUT2,$R26,FALSE))=TRUE),IF(ROUNDUP($B$47/VLOOKUP($B$43,OUTPUT2,$R26,FALSE),1)*1000&lt;Data!$B$20,Data!$B$20,IF(ROUNDUP($B$47/VLOOKUP($B$43,OUTPUT2,$R26,FALSE),1)*1000&gt;Data!$B$21-IF(MID(L26,2,1)="F",Data!$D$21,0),"",ROUNDUP($B$47/VLOOKUP($B$43,OUTPUT2,$R26,FALSE),1)*1000)),"")</f>
        <v>700</v>
      </c>
      <c r="N26" s="81">
        <f>IF($M26="","",ROUND(($M26/1000)*VLOOKUP($B$43,OUTPUT2,$R26,FALSE),0))</f>
        <v>1079</v>
      </c>
      <c r="O26" s="88">
        <f>IF(AND($B$51&gt;=Data!$B$20,$B$51&lt;=Data!$B$21-IF(MID(L26,2,1)="F",Data!$D$21,0)),$B$51,"")</f>
        <v>1200</v>
      </c>
      <c r="P26" s="89">
        <f>IF($O26="","",ROUND(($O26/1000)*VLOOKUP($B$43,OUTPUT2,$R26,FALSE),0))</f>
        <v>1849</v>
      </c>
      <c r="R26" s="1">
        <f>R24+1</f>
        <v>14</v>
      </c>
      <c r="S26" s="69"/>
    </row>
    <row r="27" spans="4:16" ht="3" customHeight="1" thickBot="1">
      <c r="D27" s="2"/>
      <c r="E27" s="2"/>
      <c r="F27" s="2"/>
      <c r="G27" s="154"/>
      <c r="H27" s="154"/>
      <c r="I27" s="154"/>
      <c r="J27" s="2"/>
      <c r="K27" s="2"/>
      <c r="L27" s="80"/>
      <c r="M27" s="81"/>
      <c r="N27" s="81"/>
      <c r="O27" s="88"/>
      <c r="P27" s="89"/>
    </row>
    <row r="28" spans="4:19" ht="15" customHeight="1">
      <c r="D28" s="2"/>
      <c r="E28" s="2"/>
      <c r="F28" s="2"/>
      <c r="G28" s="30"/>
      <c r="H28" s="21"/>
      <c r="I28" s="16"/>
      <c r="J28" s="24"/>
      <c r="K28" s="36"/>
      <c r="L28" s="80" t="str">
        <f>INDEX(Convectors,1,R28-2)&amp;" "&amp;IF($B$43=70,0,"")&amp;$B$43/10&amp;INDEX(Convectors,2,R28-2)</f>
        <v>TF 4921</v>
      </c>
      <c r="M28" s="81">
        <f>IF(AND(L28&lt;&gt;"",ISNUMBER(VLOOKUP($B$43,OUTPUT2,$R28,FALSE))=TRUE),IF(ROUNDUP($B$47/VLOOKUP($B$43,OUTPUT2,$R28,FALSE),1)*1000&lt;Data!$B$20,Data!$B$20,IF(ROUNDUP($B$47/VLOOKUP($B$43,OUTPUT2,$R28,FALSE),1)*1000&gt;Data!$B$21-IF(MID(L28,2,1)="F",Data!$D$21,0),"",ROUNDUP($B$47/VLOOKUP($B$43,OUTPUT2,$R28,FALSE),1)*1000)),"")</f>
        <v>799.9999999999999</v>
      </c>
      <c r="N28" s="81">
        <f>IF($M28="","",ROUND(($M28/1000)*VLOOKUP($B$43,OUTPUT2,$R28,FALSE),0))</f>
        <v>1011</v>
      </c>
      <c r="O28" s="88">
        <f>IF(AND($B$51&gt;=Data!$B$20,$B$51&lt;=Data!$B$21-IF(MID(L28,2,1)="F",Data!$D$21,0)),$B$51,"")</f>
        <v>1200</v>
      </c>
      <c r="P28" s="89">
        <f>IF($O28="","",ROUND(($O28/1000)*VLOOKUP($B$43,OUTPUT2,$R28,FALSE),0))</f>
        <v>1517</v>
      </c>
      <c r="R28" s="1">
        <f>R26+1</f>
        <v>15</v>
      </c>
      <c r="S28" s="69"/>
    </row>
    <row r="29" spans="4:16" ht="3" customHeight="1">
      <c r="D29" s="2"/>
      <c r="E29" s="2"/>
      <c r="F29" s="2"/>
      <c r="G29" s="2"/>
      <c r="H29" s="2"/>
      <c r="I29" s="2"/>
      <c r="J29" s="2"/>
      <c r="K29" s="2"/>
      <c r="L29" s="80"/>
      <c r="M29" s="81"/>
      <c r="N29" s="81"/>
      <c r="O29" s="88"/>
      <c r="P29" s="89"/>
    </row>
    <row r="30" spans="6:19" ht="15" customHeight="1">
      <c r="F30" s="16"/>
      <c r="G30" s="21"/>
      <c r="H30" s="16"/>
      <c r="I30" s="20"/>
      <c r="J30" s="15"/>
      <c r="K30" s="36"/>
      <c r="L30" s="80" t="str">
        <f>INDEX(Convectors,1,R30-2)&amp;" "&amp;IF($B$43=70,0,"")&amp;$B$43/10&amp;INDEX(Convectors,2,R30-2)</f>
        <v>CL 4922</v>
      </c>
      <c r="M30" s="81">
        <f>IF(AND(L30&lt;&gt;"",ISNUMBER(VLOOKUP($B$43,OUTPUT2,$R30,FALSE))=TRUE),IF(ROUNDUP($B$47/VLOOKUP($B$43,OUTPUT2,$R30,FALSE),1)*1000&lt;Data!$B$20,Data!$B$20,IF(ROUNDUP($B$47/VLOOKUP($B$43,OUTPUT2,$R30,FALSE),1)*1000&gt;Data!$B$21-IF(MID(L30,2,1)="F",Data!$D$21,0),"",ROUNDUP($B$47/VLOOKUP($B$43,OUTPUT2,$R30,FALSE),1)*1000)),"")</f>
        <v>500</v>
      </c>
      <c r="N30" s="81">
        <f>IF($M30="","",ROUND(($M30/1000)*VLOOKUP($B$43,OUTPUT2,$R30,FALSE),0))</f>
        <v>1014</v>
      </c>
      <c r="O30" s="88">
        <f>IF(AND($B$51&gt;=Data!$B$20,$B$51&lt;=Data!$B$21-IF(MID(L30,2,1)="F",Data!$D$21,0)),$B$51,"")</f>
        <v>1200</v>
      </c>
      <c r="P30" s="89">
        <f>IF($O30="","",ROUND(($O30/1000)*VLOOKUP($B$43,OUTPUT2,$R30,FALSE),0))</f>
        <v>2432</v>
      </c>
      <c r="R30" s="1">
        <f>R28+1</f>
        <v>16</v>
      </c>
      <c r="S30" s="69"/>
    </row>
    <row r="31" spans="2:16" ht="3" customHeight="1" thickBot="1">
      <c r="B31" s="2"/>
      <c r="D31" s="2"/>
      <c r="E31" s="2"/>
      <c r="F31" s="25"/>
      <c r="G31" s="25"/>
      <c r="H31" s="154"/>
      <c r="I31" s="154"/>
      <c r="J31" s="25"/>
      <c r="K31" s="25"/>
      <c r="L31" s="80"/>
      <c r="M31" s="81"/>
      <c r="N31" s="81"/>
      <c r="O31" s="88"/>
      <c r="P31" s="89"/>
    </row>
    <row r="32" spans="6:19" ht="15" customHeight="1">
      <c r="F32" s="25"/>
      <c r="G32" s="25"/>
      <c r="H32" s="21"/>
      <c r="I32" s="21"/>
      <c r="J32" s="24"/>
      <c r="K32" s="36"/>
      <c r="L32" s="80" t="str">
        <f>INDEX(Convectors,1,R32-2)&amp;" "&amp;IF($B$43=70,0,"")&amp;$B$43/10&amp;INDEX(Convectors,2,R32-2)</f>
        <v>TS 4930</v>
      </c>
      <c r="M32" s="81">
        <f>IF(AND(L32&lt;&gt;"",ISNUMBER(VLOOKUP($B$43,OUTPUT2,$R32,FALSE))=TRUE),IF(ROUNDUP($B$47/VLOOKUP($B$43,OUTPUT2,$R32,FALSE),1)*1000&lt;Data!$B$20,Data!$B$20,IF(ROUNDUP($B$47/VLOOKUP($B$43,OUTPUT2,$R32,FALSE),1)*1000&gt;Data!$B$21-IF(MID(L32,2,1)="F",Data!$D$21,0),"",ROUNDUP($B$47/VLOOKUP($B$43,OUTPUT2,$R32,FALSE),1)*1000)),"")</f>
        <v>700</v>
      </c>
      <c r="N32" s="81">
        <f>IF($M32="","",ROUND(($M32/1000)*VLOOKUP($B$43,OUTPUT2,$R32,FALSE),0))</f>
        <v>1091</v>
      </c>
      <c r="O32" s="88">
        <f>IF(AND($B$51&gt;=Data!$B$20,$B$51&lt;=Data!$B$21-IF(MID(L32,2,1)="F",Data!$D$21,0)),$B$51,"")</f>
        <v>1200</v>
      </c>
      <c r="P32" s="89">
        <f>IF($O32="","",ROUND(($O32/1000)*VLOOKUP($B$43,OUTPUT2,$R32,FALSE),0))</f>
        <v>1871</v>
      </c>
      <c r="R32" s="1">
        <f>R30+1</f>
        <v>17</v>
      </c>
      <c r="S32" s="69"/>
    </row>
    <row r="33" spans="4:16" ht="3" customHeight="1">
      <c r="D33" s="2"/>
      <c r="E33" s="2"/>
      <c r="F33" s="2"/>
      <c r="G33" s="2"/>
      <c r="H33" s="2"/>
      <c r="I33" s="2"/>
      <c r="J33" s="2"/>
      <c r="K33" s="2"/>
      <c r="L33" s="80"/>
      <c r="M33" s="81"/>
      <c r="N33" s="81"/>
      <c r="O33" s="88"/>
      <c r="P33" s="89"/>
    </row>
    <row r="34" spans="5:19" ht="15" customHeight="1">
      <c r="E34" s="15"/>
      <c r="F34" s="21"/>
      <c r="G34" s="16"/>
      <c r="H34" s="21"/>
      <c r="I34" s="16"/>
      <c r="J34" s="24"/>
      <c r="K34" s="36"/>
      <c r="L34" s="80" t="str">
        <f>INDEX(Convectors,1,R34-2)&amp;" "&amp;IF($B$43=70,0,"")&amp;$B$43/10&amp;INDEX(Convectors,2,R34-2)</f>
        <v>CL/TL 4930</v>
      </c>
      <c r="M34" s="81">
        <f>IF(AND(L34&lt;&gt;"",ISNUMBER(VLOOKUP($B$43,OUTPUT2,$R34,FALSE))=TRUE),IF(ROUNDUP($B$47/VLOOKUP($B$43,OUTPUT2,$R34,FALSE),1)*1000&lt;Data!$B$20,Data!$B$20,IF(ROUNDUP($B$47/VLOOKUP($B$43,OUTPUT2,$R34,FALSE),1)*1000&gt;Data!$B$21-IF(MID(L34,2,1)="F",Data!$D$21,0),"",ROUNDUP($B$47/VLOOKUP($B$43,OUTPUT2,$R34,FALSE),1)*1000)),"")</f>
        <v>500</v>
      </c>
      <c r="N34" s="81">
        <f>IF($M34="","",ROUND(($M34/1000)*VLOOKUP($B$43,OUTPUT2,$R34,FALSE),0))</f>
        <v>1214</v>
      </c>
      <c r="O34" s="88">
        <f>IF(AND($B$51&gt;=Data!$B$20,$B$51&lt;=Data!$B$21-IF(MID(L34,2,1)="F",Data!$D$21,0)),$B$51,"")</f>
        <v>1200</v>
      </c>
      <c r="P34" s="89">
        <f>IF($O34="","",ROUND(($O34/1000)*VLOOKUP($B$43,OUTPUT2,$R34,FALSE),0))</f>
        <v>2912</v>
      </c>
      <c r="R34" s="1">
        <f>R32+1</f>
        <v>18</v>
      </c>
      <c r="S34" s="69"/>
    </row>
    <row r="35" spans="5:16" ht="3" customHeight="1" thickBot="1">
      <c r="E35" s="2"/>
      <c r="F35" s="154"/>
      <c r="G35" s="154"/>
      <c r="H35" s="154"/>
      <c r="I35" s="154"/>
      <c r="J35" s="2"/>
      <c r="K35" s="2"/>
      <c r="L35" s="80"/>
      <c r="M35" s="81"/>
      <c r="N35" s="81"/>
      <c r="O35" s="88"/>
      <c r="P35" s="89"/>
    </row>
    <row r="36" spans="5:19" ht="15" customHeight="1">
      <c r="E36" s="15"/>
      <c r="F36" s="21"/>
      <c r="G36" s="16"/>
      <c r="H36" s="21"/>
      <c r="I36" s="16"/>
      <c r="J36" s="24"/>
      <c r="K36" s="36"/>
      <c r="L36" s="80" t="str">
        <f>INDEX(Convectors,1,R36-2)&amp;" "&amp;IF($B$43=70,0,"")&amp;$B$43/10&amp;INDEX(Convectors,2,R36-2)</f>
        <v>CX/TX 4930</v>
      </c>
      <c r="M36" s="81">
        <f>IF(AND(L36&lt;&gt;"",ISNUMBER(VLOOKUP($B$43,OUTPUT2,$R36,FALSE))=TRUE),IF(ROUNDUP($B$47/VLOOKUP($B$43,OUTPUT2,$R36,FALSE),1)*1000&lt;Data!$B$20,Data!$B$20,IF(ROUNDUP($B$47/VLOOKUP($B$43,OUTPUT2,$R36,FALSE),1)*1000&gt;Data!$B$21-IF(MID(L36,2,1)="F",Data!$D$21,0),"",ROUNDUP($B$47/VLOOKUP($B$43,OUTPUT2,$R36,FALSE),1)*1000)),"")</f>
        <v>500</v>
      </c>
      <c r="N36" s="81">
        <f>IF($M36="","",ROUND(($M36/1000)*VLOOKUP($B$43,OUTPUT2,$R36,FALSE),0))</f>
        <v>1134</v>
      </c>
      <c r="O36" s="88">
        <f>IF(AND($B$51&gt;=Data!$B$20,$B$51&lt;=Data!$B$21-IF(MID(L36,2,1)="F",Data!$D$21,0)),$B$51,"")</f>
        <v>1200</v>
      </c>
      <c r="P36" s="89">
        <f>IF($O36="","",ROUND(($O36/1000)*VLOOKUP($B$43,OUTPUT2,$R36,FALSE),0))</f>
        <v>2722</v>
      </c>
      <c r="R36" s="1">
        <f>R34+1</f>
        <v>19</v>
      </c>
      <c r="S36" s="69"/>
    </row>
    <row r="37" spans="5:16" ht="3" customHeight="1">
      <c r="E37" s="2"/>
      <c r="F37" s="2"/>
      <c r="G37" s="2"/>
      <c r="H37" s="2"/>
      <c r="I37" s="2"/>
      <c r="J37" s="2"/>
      <c r="K37" s="2"/>
      <c r="L37" s="80"/>
      <c r="M37" s="81"/>
      <c r="N37" s="81"/>
      <c r="O37" s="88"/>
      <c r="P37" s="89"/>
    </row>
    <row r="38" spans="4:19" ht="15" customHeight="1">
      <c r="D38" s="15"/>
      <c r="E38" s="21"/>
      <c r="F38" s="16"/>
      <c r="G38" s="21"/>
      <c r="H38" s="16"/>
      <c r="I38" s="20"/>
      <c r="J38" s="15"/>
      <c r="K38" s="36"/>
      <c r="L38" s="80" t="str">
        <f>INDEX(Convectors,1,R38-2)&amp;" "&amp;IF($B$43=70,0,"")&amp;$B$43/10&amp;INDEX(Convectors,2,R38-2)</f>
        <v>CL 4931</v>
      </c>
      <c r="M38" s="81">
        <f>IF(AND(L38&lt;&gt;"",ISNUMBER(VLOOKUP($B$43,OUTPUT2,$R38,FALSE))=TRUE),IF(ROUNDUP($B$47/VLOOKUP($B$43,OUTPUT2,$R38,FALSE),1)*1000&lt;Data!$B$20,Data!$B$20,IF(ROUNDUP($B$47/VLOOKUP($B$43,OUTPUT2,$R38,FALSE),1)*1000&gt;Data!$B$21-IF(MID(L38,2,1)="F",Data!$D$21,0),"",ROUNDUP($B$47/VLOOKUP($B$43,OUTPUT2,$R38,FALSE),1)*1000)),"")</f>
        <v>400</v>
      </c>
      <c r="N38" s="81">
        <f>IF($M38="","",ROUND(($M38/1000)*VLOOKUP($B$43,OUTPUT2,$R38,FALSE),0))</f>
        <v>1158</v>
      </c>
      <c r="O38" s="88">
        <f>IF(AND($B$51&gt;=Data!$B$20,$B$51&lt;=Data!$B$21-IF(MID(L38,2,1)="F",Data!$D$21,0)),$B$51,"")</f>
        <v>1200</v>
      </c>
      <c r="P38" s="89">
        <f>IF($O38="","",ROUND(($O38/1000)*VLOOKUP($B$43,OUTPUT2,$R38,FALSE),0))</f>
        <v>3474</v>
      </c>
      <c r="R38" s="1">
        <f>R36+1</f>
        <v>20</v>
      </c>
      <c r="S38" s="69"/>
    </row>
    <row r="39" spans="2:16" ht="3" customHeight="1">
      <c r="B39" s="2"/>
      <c r="D39" s="2"/>
      <c r="E39" s="2"/>
      <c r="F39" s="2"/>
      <c r="G39" s="2"/>
      <c r="H39" s="2"/>
      <c r="I39" s="2"/>
      <c r="J39" s="2"/>
      <c r="K39" s="2"/>
      <c r="L39" s="80"/>
      <c r="M39" s="81"/>
      <c r="N39" s="81"/>
      <c r="O39" s="88"/>
      <c r="P39" s="89"/>
    </row>
    <row r="40" spans="3:19" ht="15" customHeight="1" thickBot="1">
      <c r="C40" s="12"/>
      <c r="D40" s="23"/>
      <c r="E40" s="22"/>
      <c r="F40" s="16"/>
      <c r="G40" s="21"/>
      <c r="H40" s="16"/>
      <c r="I40" s="20"/>
      <c r="J40" s="19"/>
      <c r="L40" s="82" t="str">
        <f>INDEX(Convectors,1,R40-2)&amp;" "&amp;IF($B$43=70,0,"")&amp;$B$43/10&amp;INDEX(Convectors,2,R40-2)</f>
        <v>CL 4932</v>
      </c>
      <c r="M40" s="83">
        <f>IF(AND(L40&lt;&gt;"",ISNUMBER(VLOOKUP($B$43,OUTPUT2,$R40,FALSE))=TRUE),IF(ROUNDUP($B$47/VLOOKUP($B$43,OUTPUT2,$R40,FALSE),1)*1000&lt;Data!$B$20,Data!$B$20,IF(ROUNDUP($B$47/VLOOKUP($B$43,OUTPUT2,$R40,FALSE),1)*1000&gt;Data!$B$21-IF(MID(L40,2,1)="F",Data!$D$21,0),"",ROUNDUP($B$47/VLOOKUP($B$43,OUTPUT2,$R40,FALSE),1)*1000)),"")</f>
        <v>400</v>
      </c>
      <c r="N40" s="83">
        <f>IF($M40="","",ROUND(($M40/1000)*VLOOKUP($B$43,OUTPUT2,$R40,FALSE),0))</f>
        <v>1245</v>
      </c>
      <c r="O40" s="90">
        <f>IF(AND($B$51&gt;=Data!$B$20,$B$51&lt;=Data!$B$21-IF(MID(L40,2,1)="F",Data!$D$21,0)),$B$51,"")</f>
        <v>1200</v>
      </c>
      <c r="P40" s="91">
        <f>IF($O40="","",ROUND(($O40/1000)*VLOOKUP($B$43,OUTPUT2,$R40,FALSE),0))</f>
        <v>3736</v>
      </c>
      <c r="R40" s="1">
        <f>R38+1</f>
        <v>21</v>
      </c>
      <c r="S40" s="69"/>
    </row>
    <row r="41" spans="12:14" ht="3" customHeight="1" thickBot="1">
      <c r="L41" s="39"/>
      <c r="M41" s="39"/>
      <c r="N41" s="39"/>
    </row>
    <row r="42" spans="4:16" ht="3" customHeight="1" thickBot="1">
      <c r="D42" s="5"/>
      <c r="E42" s="14"/>
      <c r="F42" s="14"/>
      <c r="G42" s="14"/>
      <c r="H42" s="14"/>
      <c r="I42" s="14"/>
      <c r="J42" s="14"/>
      <c r="K42" s="14"/>
      <c r="L42" s="40"/>
      <c r="M42" s="40"/>
      <c r="N42" s="40"/>
      <c r="O42" s="56"/>
      <c r="P42" s="57"/>
    </row>
    <row r="43" spans="1:16" ht="15" customHeight="1">
      <c r="A43" s="184" t="str">
        <f>Data!$I$287&amp;" "&amp;Data!$E$287&amp;":"</f>
        <v>WÄHLEN SIE BAUHÖHE MM:</v>
      </c>
      <c r="B43" s="185">
        <v>490</v>
      </c>
      <c r="D43" s="6"/>
      <c r="E43" s="15"/>
      <c r="F43" s="92"/>
      <c r="G43" s="15"/>
      <c r="H43" s="15"/>
      <c r="I43" s="15"/>
      <c r="J43" s="15"/>
      <c r="K43" s="26"/>
      <c r="L43" s="41" t="str">
        <f>Data!M287</f>
        <v>WASSERFÜHRENDEN ROHR</v>
      </c>
      <c r="M43" s="41"/>
      <c r="N43" s="41"/>
      <c r="O43" s="51"/>
      <c r="P43" s="55"/>
    </row>
    <row r="44" spans="1:16" ht="3" customHeight="1">
      <c r="A44" s="184"/>
      <c r="B44" s="186"/>
      <c r="D44" s="6"/>
      <c r="E44" s="15"/>
      <c r="F44" s="15"/>
      <c r="G44" s="15"/>
      <c r="H44" s="15"/>
      <c r="I44" s="15"/>
      <c r="J44" s="15"/>
      <c r="K44" s="15"/>
      <c r="L44" s="41"/>
      <c r="M44" s="41"/>
      <c r="N44" s="41"/>
      <c r="O44" s="51"/>
      <c r="P44" s="55"/>
    </row>
    <row r="45" spans="1:16" ht="15" customHeight="1" thickBot="1">
      <c r="A45" s="184"/>
      <c r="B45" s="187"/>
      <c r="D45" s="6"/>
      <c r="E45" s="15"/>
      <c r="F45" s="15"/>
      <c r="G45" s="15"/>
      <c r="H45" s="15"/>
      <c r="I45" s="15"/>
      <c r="J45" s="16"/>
      <c r="K45" s="15"/>
      <c r="L45" s="41" t="str">
        <f>Data!N287</f>
        <v>KONVEKTOR</v>
      </c>
      <c r="M45" s="41"/>
      <c r="N45" s="41"/>
      <c r="O45" s="51"/>
      <c r="P45" s="55"/>
    </row>
    <row r="46" spans="4:16" ht="3" customHeight="1" thickBot="1">
      <c r="D46" s="6"/>
      <c r="E46" s="15"/>
      <c r="F46" s="15"/>
      <c r="G46" s="15"/>
      <c r="H46" s="15"/>
      <c r="I46" s="15"/>
      <c r="J46" s="15"/>
      <c r="K46" s="15"/>
      <c r="L46" s="41"/>
      <c r="M46" s="41"/>
      <c r="N46" s="41"/>
      <c r="O46" s="51"/>
      <c r="P46" s="55"/>
    </row>
    <row r="47" spans="1:16" ht="15" customHeight="1">
      <c r="A47" s="194" t="str">
        <f>Data!I287&amp;" "&amp;Data!C287&amp;":"</f>
        <v>WÄHLEN SIE LEISTUNG, WATT:</v>
      </c>
      <c r="B47" s="195">
        <v>1000</v>
      </c>
      <c r="D47" s="6"/>
      <c r="E47" s="15"/>
      <c r="F47" s="15"/>
      <c r="G47" s="15"/>
      <c r="H47" s="15"/>
      <c r="I47" s="15"/>
      <c r="J47" s="15"/>
      <c r="K47" s="27"/>
      <c r="L47" s="41" t="str">
        <f>Data!O287</f>
        <v>PLANE FRONT</v>
      </c>
      <c r="M47" s="41"/>
      <c r="N47" s="41"/>
      <c r="O47" s="51"/>
      <c r="P47" s="55"/>
    </row>
    <row r="48" spans="1:16" ht="3" customHeight="1">
      <c r="A48" s="194"/>
      <c r="B48" s="196"/>
      <c r="D48" s="6"/>
      <c r="E48" s="15"/>
      <c r="F48" s="15"/>
      <c r="G48" s="15"/>
      <c r="H48" s="15"/>
      <c r="I48" s="15"/>
      <c r="J48" s="15"/>
      <c r="K48" s="15"/>
      <c r="L48" s="41"/>
      <c r="M48" s="41"/>
      <c r="N48" s="41"/>
      <c r="O48" s="51"/>
      <c r="P48" s="55"/>
    </row>
    <row r="49" spans="1:16" ht="15" customHeight="1" thickBot="1">
      <c r="A49" s="194"/>
      <c r="B49" s="197"/>
      <c r="D49" s="6"/>
      <c r="E49" s="15"/>
      <c r="F49" s="15"/>
      <c r="G49" s="15"/>
      <c r="H49" s="15"/>
      <c r="I49" s="17"/>
      <c r="J49" s="17"/>
      <c r="L49" s="1" t="str">
        <f>Data!AB287</f>
        <v>ROSTE</v>
      </c>
      <c r="M49" s="41"/>
      <c r="N49" s="41"/>
      <c r="O49" s="51"/>
      <c r="P49" s="55"/>
    </row>
    <row r="50" spans="4:16" ht="3" customHeight="1" thickBot="1">
      <c r="D50" s="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51"/>
      <c r="P50" s="55"/>
    </row>
    <row r="51" spans="1:16" ht="15" customHeight="1">
      <c r="A51" s="194" t="str">
        <f>Data!$X$287&amp;" "&amp;Data!$F$287&amp;":"</f>
        <v>ODER BAULÄNGE MM:</v>
      </c>
      <c r="B51" s="191">
        <v>1200</v>
      </c>
      <c r="D51" s="6"/>
      <c r="J51" s="19"/>
      <c r="K51" s="15"/>
      <c r="L51" s="41" t="str">
        <f>Data!P287</f>
        <v>WAND</v>
      </c>
      <c r="O51" s="1"/>
      <c r="P51" s="55"/>
    </row>
    <row r="52" spans="1:16" ht="3" customHeight="1">
      <c r="A52" s="194"/>
      <c r="B52" s="192"/>
      <c r="D52" s="6"/>
      <c r="J52" s="15"/>
      <c r="O52" s="1"/>
      <c r="P52" s="55"/>
    </row>
    <row r="53" spans="1:16" ht="15.75" customHeight="1" thickBot="1">
      <c r="A53" s="194"/>
      <c r="B53" s="193"/>
      <c r="D53" s="6"/>
      <c r="E53" s="15"/>
      <c r="F53" s="15"/>
      <c r="G53" s="15"/>
      <c r="H53" s="15"/>
      <c r="I53" s="15"/>
      <c r="J53" s="15"/>
      <c r="K53" s="15"/>
      <c r="L53" s="198" t="str">
        <f>Data!Y$287&amp;" "&amp;Data!$F$287&amp;": "&amp;Data!$B$20&amp;", "&amp;Data!$Z$287&amp;" "&amp;Data!$F$287&amp;": "&amp;Data!$B$21&amp;" (TF: "&amp;Data!$B$21-Data!$D$21&amp;"). "&amp;Data!$AA$287</f>
        <v>MIN. BAULÄNGE MM: 400, MAX. BAULÄNGE MM: 6000 (TF: 3200). BITTE KONTAKTIEREN SIE MEINERTZ FÜR SONDERGRÖSSEN ODER SONDERAUSFÜHRUNGEN.</v>
      </c>
      <c r="M53" s="198"/>
      <c r="N53" s="198"/>
      <c r="O53" s="198"/>
      <c r="P53" s="199"/>
    </row>
    <row r="54" spans="4:16" ht="15.75" customHeight="1">
      <c r="D54" s="6"/>
      <c r="E54" s="15"/>
      <c r="F54" s="15"/>
      <c r="G54" s="15"/>
      <c r="H54" s="15"/>
      <c r="I54" s="15"/>
      <c r="J54" s="15"/>
      <c r="K54" s="15"/>
      <c r="L54" s="198"/>
      <c r="M54" s="198"/>
      <c r="N54" s="198"/>
      <c r="O54" s="198"/>
      <c r="P54" s="199"/>
    </row>
    <row r="55" spans="4:25" ht="15" customHeight="1">
      <c r="D55" s="6"/>
      <c r="E55" s="15"/>
      <c r="F55" s="15"/>
      <c r="G55" s="15"/>
      <c r="H55" s="15"/>
      <c r="I55" s="15"/>
      <c r="J55" s="15"/>
      <c r="K55" s="15"/>
      <c r="L55" s="198"/>
      <c r="M55" s="198"/>
      <c r="N55" s="198"/>
      <c r="O55" s="198"/>
      <c r="P55" s="199"/>
      <c r="Q55" s="68"/>
      <c r="R55" s="68"/>
      <c r="S55" s="68"/>
      <c r="T55" s="68"/>
      <c r="U55" s="68"/>
      <c r="V55" s="68"/>
      <c r="W55" s="68"/>
      <c r="X55" s="68"/>
      <c r="Y55" s="68"/>
    </row>
    <row r="56" spans="4:16" ht="15.75" customHeight="1" thickBot="1">
      <c r="D56" s="13"/>
      <c r="E56" s="17"/>
      <c r="F56" s="17"/>
      <c r="G56" s="17"/>
      <c r="H56" s="17"/>
      <c r="I56" s="17"/>
      <c r="J56" s="17"/>
      <c r="K56" s="17"/>
      <c r="L56" s="200"/>
      <c r="M56" s="200"/>
      <c r="N56" s="200"/>
      <c r="O56" s="200"/>
      <c r="P56" s="201"/>
    </row>
    <row r="60" ht="14.25">
      <c r="I60" s="15"/>
    </row>
  </sheetData>
  <sheetProtection password="CF4F" sheet="1" selectLockedCells="1"/>
  <mergeCells count="8">
    <mergeCell ref="A43:A45"/>
    <mergeCell ref="B43:B45"/>
    <mergeCell ref="L2:P2"/>
    <mergeCell ref="B51:B53"/>
    <mergeCell ref="A51:A53"/>
    <mergeCell ref="A47:A49"/>
    <mergeCell ref="B47:B49"/>
    <mergeCell ref="L53:P56"/>
  </mergeCells>
  <conditionalFormatting sqref="B4 B6 B8">
    <cfRule type="expression" priority="8" dxfId="0" stopIfTrue="1">
      <formula>$B$4&lt;$B$6+10</formula>
    </cfRule>
  </conditionalFormatting>
  <dataValidations count="2">
    <dataValidation type="list" allowBlank="1" showInputMessage="1" showErrorMessage="1" sqref="B43 Z24 Z17:Z22 C40 F7 E9:F9 F5">
      <formula1>Heights</formula1>
    </dataValidation>
    <dataValidation type="list" allowBlank="1" showInputMessage="1" showErrorMessage="1" sqref="C2">
      <formula1>Language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1"/>
  <sheetViews>
    <sheetView showGridLines="0" zoomScalePageLayoutView="0" workbookViewId="0" topLeftCell="A1">
      <selection activeCell="B15" sqref="B15:B17"/>
    </sheetView>
  </sheetViews>
  <sheetFormatPr defaultColWidth="9.140625" defaultRowHeight="15"/>
  <cols>
    <col min="1" max="1" width="24.28125" style="1" customWidth="1"/>
    <col min="2" max="2" width="9.28125" style="1" customWidth="1"/>
    <col min="3" max="3" width="2.8515625" style="2" customWidth="1"/>
    <col min="4" max="6" width="2.140625" style="1" customWidth="1"/>
    <col min="7" max="7" width="0.71875" style="1" customWidth="1"/>
    <col min="8" max="8" width="1.421875" style="1" customWidth="1"/>
    <col min="9" max="9" width="0.71875" style="1" customWidth="1"/>
    <col min="10" max="10" width="2.140625" style="1" customWidth="1"/>
    <col min="11" max="11" width="0.9921875" style="1" customWidth="1"/>
    <col min="12" max="12" width="2.140625" style="1" customWidth="1"/>
    <col min="13" max="13" width="20.7109375" style="1" customWidth="1"/>
    <col min="14" max="14" width="18.57421875" style="1" customWidth="1"/>
    <col min="15" max="15" width="9.28125" style="1" customWidth="1"/>
    <col min="16" max="16" width="18.57421875" style="1" customWidth="1"/>
    <col min="17" max="17" width="9.28125" style="1" customWidth="1"/>
    <col min="18" max="18" width="9.140625" style="1" customWidth="1"/>
    <col min="19" max="19" width="9.140625" style="1" hidden="1" customWidth="1"/>
    <col min="20" max="16384" width="9.140625" style="1" customWidth="1"/>
  </cols>
  <sheetData>
    <row r="1" ht="15" customHeight="1" thickBot="1"/>
    <row r="2" spans="13:17" ht="26.25" customHeight="1" thickBot="1">
      <c r="M2" s="188" t="str">
        <f>Data!D287&amp;":"</f>
        <v>OPTIONEN:</v>
      </c>
      <c r="N2" s="189"/>
      <c r="O2" s="189"/>
      <c r="P2" s="189"/>
      <c r="Q2" s="190"/>
    </row>
    <row r="3" spans="13:17" ht="15" customHeight="1" thickBot="1">
      <c r="M3" s="153" t="str">
        <f>Data!$N$287&amp;Data!$G$287</f>
        <v>KONVEKTOR TYP</v>
      </c>
      <c r="N3" s="117" t="str">
        <f>Data!$E$287</f>
        <v>BAUHÖHE MM</v>
      </c>
      <c r="O3" s="118" t="str">
        <f>Data!$H$287</f>
        <v>WATT</v>
      </c>
      <c r="P3" s="178" t="str">
        <f>Data!$E$287</f>
        <v>BAUHÖHE MM</v>
      </c>
      <c r="Q3" s="131" t="str">
        <f>Data!$H$287</f>
        <v>WATT</v>
      </c>
    </row>
    <row r="4" spans="1:19" ht="15" customHeight="1" thickBot="1">
      <c r="A4" s="1" t="str">
        <f>Data!J287&amp;":"</f>
        <v>VORLAUF:</v>
      </c>
      <c r="B4" s="77">
        <v>75</v>
      </c>
      <c r="E4" s="4"/>
      <c r="J4" s="29"/>
      <c r="K4" s="19"/>
      <c r="L4" s="36"/>
      <c r="M4" s="95" t="str">
        <f>"TF"&amp;$B$11/10&amp;S4*10</f>
        <v>TF4910</v>
      </c>
      <c r="N4" s="177">
        <f>IF(ROUNDUP((($B$15/INDEX(Data!$F$26:$F$28,S4))/($B$11/70)-Data!$D$27)/Data!$D$26*100,-2)&lt;=Data!$B$28,Data!$B$28,IF(ROUNDUP((($B$15/INDEX(Data!$F$26:$F$28,S4))/($B$11/70)-Data!$D$27)/Data!$D$26*100,-2)&gt;Data!$B$29,"",ROUNDUP((($B$15/INDEX(Data!$F$26:$F$28,S4))/($B$11/70)-Data!$D$27)/Data!$D$26*100,-2)))</f>
        <v>1900</v>
      </c>
      <c r="O4" s="96">
        <f>IF(N4&lt;&gt;"",ROUND(INDEX(Data!$F$26:$F$28,S4)*(Data!$D$27+(N4/100)*Data!$D$26)*$B$11/70,0),"")</f>
        <v>1027</v>
      </c>
      <c r="P4" s="181">
        <f>IF(AND($B$19&gt;=Data!$B$28,$B$19&lt;=Data!$B$29),$B$19,"")</f>
        <v>1200</v>
      </c>
      <c r="Q4" s="87">
        <f>IF(P4&lt;&gt;"",ROUND(INDEX(Data!$F$26:$F$28,S4)*(Data!$D$27+(P4/100)*Data!$D$26)*$B$11/70,0),"")</f>
        <v>741</v>
      </c>
      <c r="S4" s="1">
        <v>1</v>
      </c>
    </row>
    <row r="5" spans="2:17" ht="3" customHeight="1" thickBot="1">
      <c r="B5" s="3"/>
      <c r="C5" s="3"/>
      <c r="E5" s="4"/>
      <c r="J5" s="15"/>
      <c r="K5" s="15"/>
      <c r="L5" s="15"/>
      <c r="M5" s="97"/>
      <c r="N5" s="98"/>
      <c r="O5" s="99"/>
      <c r="P5" s="180"/>
      <c r="Q5" s="126"/>
    </row>
    <row r="6" spans="1:19" ht="15" customHeight="1" thickBot="1">
      <c r="A6" s="1" t="str">
        <f>Data!K287&amp;":"</f>
        <v>RÜCKLAUF:</v>
      </c>
      <c r="B6" s="77">
        <v>65</v>
      </c>
      <c r="E6" s="4"/>
      <c r="I6" s="29"/>
      <c r="J6" s="48"/>
      <c r="K6" s="24"/>
      <c r="L6" s="36"/>
      <c r="M6" s="100" t="str">
        <f>"TF"&amp;$B$11/10&amp;S6*10</f>
        <v>TF4920</v>
      </c>
      <c r="N6" s="101">
        <f>IF(ROUNDUP((($B$15/INDEX(Data!$F$26:$F$28,S6))/($B$11/70)-Data!$D$27)/Data!$D$26*100,-2)&lt;=Data!$B$28,Data!$B$28,IF(ROUNDUP((($B$15/INDEX(Data!$F$26:$F$28,S6))/($B$11/70)-Data!$D$27)/Data!$D$26*100,-2)&gt;Data!$B$29,"",ROUNDUP((($B$15/INDEX(Data!$F$26:$F$28,S6))/($B$11/70)-Data!$D$27)/Data!$D$26*100,-2)))</f>
        <v>1000</v>
      </c>
      <c r="O6" s="99">
        <f>IF(N6&lt;&gt;"",ROUND(INDEX(Data!$F$26:$F$28,S6)*(Data!$D$27+(N6/100)*Data!$D$26)*$B$11/70,0),"")</f>
        <v>1035</v>
      </c>
      <c r="P6" s="179">
        <f>$P$4</f>
        <v>1200</v>
      </c>
      <c r="Q6" s="89">
        <f>IF(P6&lt;&gt;"",ROUND(INDEX(Data!$F$26:$F$28,S6)*(Data!$D$27+(P6/100)*Data!$D$26)*$B$11/70,0),"")</f>
        <v>1163</v>
      </c>
      <c r="S6" s="1">
        <v>2</v>
      </c>
    </row>
    <row r="7" spans="13:17" ht="3" customHeight="1" thickBot="1">
      <c r="M7" s="97"/>
      <c r="N7" s="98"/>
      <c r="O7" s="99"/>
      <c r="P7" s="179"/>
      <c r="Q7" s="126"/>
    </row>
    <row r="8" spans="1:19" ht="15" customHeight="1" thickBot="1">
      <c r="A8" s="1" t="str">
        <f>Data!L287&amp;":"</f>
        <v>ZIMMER:</v>
      </c>
      <c r="B8" s="77">
        <v>20</v>
      </c>
      <c r="G8" s="27"/>
      <c r="H8" s="49"/>
      <c r="I8" s="50"/>
      <c r="J8" s="48"/>
      <c r="K8" s="24"/>
      <c r="L8" s="36"/>
      <c r="M8" s="102" t="str">
        <f>"TF"&amp;$B$11/10&amp;S8*10</f>
        <v>TF4930</v>
      </c>
      <c r="N8" s="103">
        <f>IF(ROUNDUP((($B$15/INDEX(Data!$F$26:$F$28,S8))/($B$11/70)-Data!$D$27)/Data!$D$26*100,-2)&lt;=Data!$B$28,Data!$B$28,IF(ROUNDUP((($B$15/INDEX(Data!$F$26:$F$28,S8))/($B$11/70)-Data!$D$27)/Data!$D$26*100,-2)&gt;Data!$B$29,"",ROUNDUP((($B$15/INDEX(Data!$F$26:$F$28,S8))/($B$11/70)-Data!$D$27)/Data!$D$26*100,-2)))</f>
        <v>1000</v>
      </c>
      <c r="O8" s="104">
        <f>IF(N8&lt;&gt;"",ROUND(INDEX(Data!$F$26:$F$28,S8)*(Data!$D$27+(N8/100)*Data!$D$26)*$B$11/70,0),"")</f>
        <v>1411</v>
      </c>
      <c r="P8" s="182">
        <f>$P$4</f>
        <v>1200</v>
      </c>
      <c r="Q8" s="91">
        <f>IF(P8&lt;&gt;"",ROUND(INDEX(Data!$F$26:$F$28,S8)*(Data!$D$27+(P8/100)*Data!$D$26)*$B$11/70,0),"")</f>
        <v>1585</v>
      </c>
      <c r="S8" s="1">
        <v>3</v>
      </c>
    </row>
    <row r="9" spans="2:15" ht="3" customHeight="1" thickBot="1">
      <c r="B9" s="7"/>
      <c r="C9" s="8"/>
      <c r="M9" s="25"/>
      <c r="N9" s="25"/>
      <c r="O9" s="25"/>
    </row>
    <row r="10" spans="4:17" ht="3" customHeight="1" thickBot="1">
      <c r="D10" s="5"/>
      <c r="E10" s="14"/>
      <c r="F10" s="14"/>
      <c r="G10" s="14"/>
      <c r="H10" s="14"/>
      <c r="I10" s="14"/>
      <c r="J10" s="14"/>
      <c r="K10" s="14"/>
      <c r="L10" s="14"/>
      <c r="M10" s="40"/>
      <c r="N10" s="40"/>
      <c r="O10" s="40"/>
      <c r="P10" s="14"/>
      <c r="Q10" s="57"/>
    </row>
    <row r="11" spans="1:17" ht="14.25">
      <c r="A11" s="184" t="str">
        <f>Data!I287&amp;" "&amp;Data!F287&amp;":"</f>
        <v>WÄHLEN SIE BAULÄNGE MM:</v>
      </c>
      <c r="B11" s="185">
        <v>490</v>
      </c>
      <c r="D11" s="6"/>
      <c r="E11" s="15"/>
      <c r="F11" s="15"/>
      <c r="G11" s="15"/>
      <c r="H11" s="15"/>
      <c r="I11" s="15"/>
      <c r="J11" s="15"/>
      <c r="K11" s="15"/>
      <c r="L11" s="26"/>
      <c r="M11" s="41" t="str">
        <f>Data!M287</f>
        <v>WASSERFÜHRENDEN ROHR</v>
      </c>
      <c r="N11" s="41"/>
      <c r="O11" s="41"/>
      <c r="P11" s="15"/>
      <c r="Q11" s="55"/>
    </row>
    <row r="12" spans="1:17" ht="3" customHeight="1">
      <c r="A12" s="184"/>
      <c r="B12" s="186"/>
      <c r="D12" s="6"/>
      <c r="E12" s="15"/>
      <c r="F12" s="15"/>
      <c r="G12" s="15"/>
      <c r="H12" s="15"/>
      <c r="I12" s="15"/>
      <c r="J12" s="15"/>
      <c r="K12" s="15"/>
      <c r="L12" s="15"/>
      <c r="M12" s="41"/>
      <c r="N12" s="41"/>
      <c r="O12" s="41"/>
      <c r="P12" s="15"/>
      <c r="Q12" s="55"/>
    </row>
    <row r="13" spans="1:17" ht="15" thickBot="1">
      <c r="A13" s="184"/>
      <c r="B13" s="187"/>
      <c r="D13" s="6"/>
      <c r="E13" s="15"/>
      <c r="F13" s="15"/>
      <c r="G13" s="15"/>
      <c r="H13" s="15"/>
      <c r="I13" s="15"/>
      <c r="J13" s="15"/>
      <c r="K13" s="16"/>
      <c r="L13" s="15"/>
      <c r="M13" s="41" t="str">
        <f>Data!N287</f>
        <v>KONVEKTOR</v>
      </c>
      <c r="N13" s="41"/>
      <c r="O13" s="41"/>
      <c r="P13" s="15"/>
      <c r="Q13" s="55"/>
    </row>
    <row r="14" spans="4:17" ht="3" customHeight="1" thickBot="1">
      <c r="D14" s="6"/>
      <c r="E14" s="15"/>
      <c r="F14" s="15"/>
      <c r="G14" s="15"/>
      <c r="H14" s="15"/>
      <c r="I14" s="15"/>
      <c r="J14" s="15"/>
      <c r="K14" s="15"/>
      <c r="L14" s="15"/>
      <c r="M14" s="41"/>
      <c r="N14" s="41"/>
      <c r="O14" s="41"/>
      <c r="P14" s="15"/>
      <c r="Q14" s="55"/>
    </row>
    <row r="15" spans="1:17" ht="15" customHeight="1">
      <c r="A15" s="194" t="str">
        <f>Data!I287&amp;" "&amp;Data!C287&amp;":"</f>
        <v>WÄHLEN SIE LEISTUNG, WATT:</v>
      </c>
      <c r="B15" s="195">
        <v>1000</v>
      </c>
      <c r="C15" s="35"/>
      <c r="D15" s="6"/>
      <c r="E15" s="15"/>
      <c r="F15" s="15"/>
      <c r="G15" s="15"/>
      <c r="H15" s="15"/>
      <c r="I15" s="15"/>
      <c r="J15" s="15"/>
      <c r="K15" s="15"/>
      <c r="L15" s="27"/>
      <c r="M15" s="41" t="str">
        <f>Data!O287</f>
        <v>PLANE FRONT</v>
      </c>
      <c r="N15" s="41"/>
      <c r="O15" s="41"/>
      <c r="P15" s="15"/>
      <c r="Q15" s="55"/>
    </row>
    <row r="16" spans="1:17" ht="3" customHeight="1">
      <c r="A16" s="194"/>
      <c r="B16" s="196"/>
      <c r="C16" s="35"/>
      <c r="D16" s="6"/>
      <c r="E16" s="15"/>
      <c r="F16" s="15"/>
      <c r="G16" s="15"/>
      <c r="H16" s="15"/>
      <c r="I16" s="15"/>
      <c r="J16" s="15"/>
      <c r="K16" s="15"/>
      <c r="L16" s="15"/>
      <c r="M16" s="41"/>
      <c r="N16" s="41"/>
      <c r="O16" s="41"/>
      <c r="P16" s="15"/>
      <c r="Q16" s="55"/>
    </row>
    <row r="17" spans="1:17" ht="15" thickBot="1">
      <c r="A17" s="194"/>
      <c r="B17" s="197"/>
      <c r="C17" s="35"/>
      <c r="D17" s="6"/>
      <c r="E17" s="15"/>
      <c r="F17" s="15"/>
      <c r="G17" s="15"/>
      <c r="H17" s="15"/>
      <c r="I17" s="15"/>
      <c r="J17" s="15"/>
      <c r="K17" s="19"/>
      <c r="L17" s="15"/>
      <c r="M17" s="41" t="str">
        <f>Data!P287</f>
        <v>WAND</v>
      </c>
      <c r="N17" s="41"/>
      <c r="O17" s="41"/>
      <c r="P17" s="15"/>
      <c r="Q17" s="55"/>
    </row>
    <row r="18" spans="4:17" ht="3" customHeight="1" thickBot="1">
      <c r="D18" s="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55"/>
    </row>
    <row r="19" spans="1:17" ht="15" customHeight="1">
      <c r="A19" s="194" t="str">
        <f>Data!$X$287&amp;" "&amp;Data!$E$287&amp;":"</f>
        <v>ODER BAUHÖHE MM:</v>
      </c>
      <c r="B19" s="191">
        <v>1200</v>
      </c>
      <c r="D19" s="6"/>
      <c r="E19" s="15"/>
      <c r="F19" s="15"/>
      <c r="G19" s="15"/>
      <c r="H19" s="15"/>
      <c r="I19" s="15"/>
      <c r="J19" s="15"/>
      <c r="K19" s="15"/>
      <c r="L19" s="15"/>
      <c r="M19" s="198" t="str">
        <f>Data!Y$287&amp;" "&amp;Data!$E$287&amp;": "&amp;Data!$B$28&amp;", "&amp;Data!$Z$287&amp;" "&amp;Data!$E$287&amp;": "&amp;Data!$B$29&amp;". "&amp;Data!$AA$287</f>
        <v>MIN. BAUHÖHE MM: 1000, MAX. BAUHÖHE MM: 3200. BITTE KONTAKTIEREN SIE MEINERTZ FÜR SONDERGRÖSSEN ODER SONDERAUSFÜHRUNGEN.</v>
      </c>
      <c r="N19" s="198"/>
      <c r="O19" s="198"/>
      <c r="P19" s="198"/>
      <c r="Q19" s="199"/>
    </row>
    <row r="20" spans="1:17" ht="3" customHeight="1">
      <c r="A20" s="194"/>
      <c r="B20" s="192"/>
      <c r="D20" s="6"/>
      <c r="E20" s="15"/>
      <c r="F20" s="15"/>
      <c r="G20" s="15"/>
      <c r="H20" s="15"/>
      <c r="I20" s="15"/>
      <c r="J20" s="15"/>
      <c r="K20" s="15"/>
      <c r="L20" s="15"/>
      <c r="M20" s="198"/>
      <c r="N20" s="198"/>
      <c r="O20" s="198"/>
      <c r="P20" s="198"/>
      <c r="Q20" s="199"/>
    </row>
    <row r="21" spans="1:18" ht="15.75" customHeight="1" thickBot="1">
      <c r="A21" s="194"/>
      <c r="B21" s="193"/>
      <c r="D21" s="13"/>
      <c r="E21" s="17"/>
      <c r="F21" s="17"/>
      <c r="G21" s="17"/>
      <c r="H21" s="17"/>
      <c r="I21" s="17"/>
      <c r="J21" s="17"/>
      <c r="K21" s="17"/>
      <c r="L21" s="17"/>
      <c r="M21" s="200"/>
      <c r="N21" s="200"/>
      <c r="O21" s="200"/>
      <c r="P21" s="200"/>
      <c r="Q21" s="201"/>
      <c r="R21" s="2"/>
    </row>
  </sheetData>
  <sheetProtection password="CF4F" sheet="1" objects="1" scenarios="1" selectLockedCells="1"/>
  <mergeCells count="8">
    <mergeCell ref="M2:Q2"/>
    <mergeCell ref="A19:A21"/>
    <mergeCell ref="B19:B21"/>
    <mergeCell ref="M19:Q21"/>
    <mergeCell ref="A15:A17"/>
    <mergeCell ref="B15:B17"/>
    <mergeCell ref="A11:A13"/>
    <mergeCell ref="B11:B13"/>
  </mergeCells>
  <conditionalFormatting sqref="B4 B6 B8">
    <cfRule type="expression" priority="2" dxfId="0" stopIfTrue="1">
      <formula>$B$4&lt;$B$6+10</formula>
    </cfRule>
  </conditionalFormatting>
  <dataValidations count="5">
    <dataValidation type="list" allowBlank="1" showInputMessage="1" showErrorMessage="1" sqref="D4:D7 E7 F4:F7">
      <formula1>Heights</formula1>
    </dataValidation>
    <dataValidation type="list" allowBlank="1" showInputMessage="1" showErrorMessage="1" sqref="B11">
      <formula1>Lenghts</formula1>
    </dataValidation>
    <dataValidation type="list" allowBlank="1" showInputMessage="1" showErrorMessage="1" sqref="B8">
      <formula1>TEMPSETFINNED3</formula1>
    </dataValidation>
    <dataValidation type="list" allowBlank="1" showInputMessage="1" showErrorMessage="1" sqref="B4">
      <formula1>TEMPSETFINNED1</formula1>
    </dataValidation>
    <dataValidation type="list" allowBlank="1" showInputMessage="1" showErrorMessage="1" sqref="B6">
      <formula1>TEMPSETFINNED2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2"/>
  <sheetViews>
    <sheetView showGridLines="0" zoomScalePageLayoutView="0" workbookViewId="0" topLeftCell="A1">
      <selection activeCell="B8" sqref="B8:B10"/>
    </sheetView>
  </sheetViews>
  <sheetFormatPr defaultColWidth="9.140625" defaultRowHeight="15"/>
  <cols>
    <col min="1" max="1" width="24.140625" style="1" customWidth="1"/>
    <col min="2" max="2" width="9.28125" style="1" customWidth="1"/>
    <col min="3" max="3" width="2.8515625" style="1" customWidth="1"/>
    <col min="4" max="4" width="9.28125" style="1" customWidth="1"/>
    <col min="5" max="5" width="18.57421875" style="1" customWidth="1"/>
    <col min="6" max="6" width="9.28125" style="1" customWidth="1"/>
    <col min="7" max="7" width="9.28125" style="1" hidden="1" customWidth="1"/>
    <col min="8" max="8" width="18.57421875" style="1" customWidth="1"/>
    <col min="9" max="16384" width="9.140625" style="1" customWidth="1"/>
  </cols>
  <sheetData>
    <row r="1" ht="15" thickBot="1"/>
    <row r="2" spans="4:9" ht="26.25" thickBot="1">
      <c r="D2" s="188" t="str">
        <f>Data!$D$287&amp;":"</f>
        <v>OPTIONEN:</v>
      </c>
      <c r="E2" s="189"/>
      <c r="F2" s="189"/>
      <c r="G2" s="189"/>
      <c r="H2" s="189"/>
      <c r="I2" s="190"/>
    </row>
    <row r="3" spans="4:9" ht="15" thickBot="1">
      <c r="D3" s="105" t="str">
        <f>Data!G287</f>
        <v> TYP</v>
      </c>
      <c r="E3" s="106" t="str">
        <f>Data!$F$287</f>
        <v>BAULÄNGE MM</v>
      </c>
      <c r="F3" s="106" t="str">
        <f>Data!$H$287</f>
        <v>WATT</v>
      </c>
      <c r="G3" s="58"/>
      <c r="H3" s="86" t="str">
        <f>Data!$F$287</f>
        <v>BAULÄNGE MM</v>
      </c>
      <c r="I3" s="127" t="str">
        <f>Data!$H$287</f>
        <v>WATT</v>
      </c>
    </row>
    <row r="4" spans="1:9" ht="15" customHeight="1" thickBot="1">
      <c r="A4" s="32" t="str">
        <f>Data!$Q$287</f>
        <v>TEMPERATURSATZ ºC</v>
      </c>
      <c r="B4" s="77" t="s">
        <v>112</v>
      </c>
      <c r="D4" s="107" t="str">
        <f>IF(E4&lt;&gt;"","FL","")</f>
        <v>FL</v>
      </c>
      <c r="E4" s="108">
        <f>IF(B8&gt;VLOOKUP(B4,OUTPUT3,2,FALSE),Data!$T$287,3600+MATCH($B$8,CHOOSE(MATCH('Convec FloorLine'!$B$4,TEMPSETCONVEC1,0),Data!B33:N33,Data!B34:N34,Data!B35:N35,Data!B36:N36,Data!B37:N37,Data!B38:N38),-1)*-200)</f>
        <v>2600</v>
      </c>
      <c r="F4" s="108">
        <f>IF(E4&lt;&gt;Data!$T$287,VLOOKUP($B$4,OUTPUT3,(-E4+3800)/200,FALSE),"")</f>
        <v>1113</v>
      </c>
      <c r="G4" s="70" t="str">
        <f>IF(E4&lt;&gt;Data!T287,VLOOKUP('Convec FloorLine'!B4,OUTPUT3a,(-'Convec FloorLine'!E4+3800)/200,FALSE),"")</f>
        <v>98 l/h</v>
      </c>
      <c r="H4" s="86">
        <f>B12</f>
        <v>1200</v>
      </c>
      <c r="I4" s="128">
        <f>IF(H4&lt;&gt;"",VLOOKUP($B$4,OUTPUT3,(-H4+3800)/200,FALSE),"")</f>
        <v>296</v>
      </c>
    </row>
    <row r="5" spans="4:9" ht="3" customHeight="1">
      <c r="D5" s="80"/>
      <c r="E5" s="109"/>
      <c r="F5" s="109"/>
      <c r="G5" s="71"/>
      <c r="H5" s="125"/>
      <c r="I5" s="126"/>
    </row>
    <row r="6" spans="4:9" ht="15" customHeight="1" thickBot="1">
      <c r="D6" s="80" t="str">
        <f>IF(E4&lt;&gt;"","FL TWIN","")</f>
        <v>FL TWIN</v>
      </c>
      <c r="E6" s="81">
        <f>IF(B8/2&gt;VLOOKUP(B4,OUTPUT3,2,FALSE),Data!$T$287,3600+MATCH($B$8/2,CHOOSE(MATCH('Convec FloorLine'!$B$4,TEMPSETCONVEC1,0),Data!B33:N33,Data!B34:N34,Data!B35:N35,Data!B36:N36,Data!B37:N37,Data!B38:N38),-1)*-200)</f>
        <v>1600</v>
      </c>
      <c r="F6" s="81">
        <f>IF(E6&lt;&gt;Data!$T$287,VLOOKUP(B4,OUTPUT3,(-E6+3800)/200,FALSE)*2,"")</f>
        <v>1052</v>
      </c>
      <c r="G6" s="71"/>
      <c r="H6" s="90">
        <f>$H$4</f>
        <v>1200</v>
      </c>
      <c r="I6" s="129">
        <f>IF(H6&lt;&gt;"",VLOOKUP($B$4,OUTPUT3,(-H6+3800)/200,FALSE)*2,"")</f>
        <v>592</v>
      </c>
    </row>
    <row r="7" spans="3:10" ht="3" customHeight="1" thickBot="1">
      <c r="C7" s="15"/>
      <c r="D7" s="43"/>
      <c r="E7" s="38"/>
      <c r="F7" s="38"/>
      <c r="G7" s="40"/>
      <c r="H7" s="15"/>
      <c r="I7" s="15"/>
      <c r="J7" s="15"/>
    </row>
    <row r="8" spans="1:9" ht="15" customHeight="1">
      <c r="A8" s="194" t="str">
        <f>Data!I287&amp;" "&amp;Data!C287&amp;":"</f>
        <v>WÄHLEN SIE LEISTUNG, WATT:</v>
      </c>
      <c r="B8" s="195">
        <v>1000</v>
      </c>
      <c r="D8" s="204" t="str">
        <f>Data!$S$287</f>
        <v>BITTE BEACHTEN SIE LÄNGE PRO EINHEIT. MEHRERE EINHEITEN KÖNNEN IN SERIE MONTIERT WERDEN</v>
      </c>
      <c r="E8" s="205"/>
      <c r="F8" s="205"/>
      <c r="G8" s="205"/>
      <c r="H8" s="205"/>
      <c r="I8" s="206"/>
    </row>
    <row r="9" spans="1:9" ht="3" customHeight="1">
      <c r="A9" s="194"/>
      <c r="B9" s="196"/>
      <c r="D9" s="207"/>
      <c r="E9" s="208"/>
      <c r="F9" s="208"/>
      <c r="G9" s="208"/>
      <c r="H9" s="208"/>
      <c r="I9" s="194"/>
    </row>
    <row r="10" spans="1:9" ht="15" customHeight="1" thickBot="1">
      <c r="A10" s="194"/>
      <c r="B10" s="197"/>
      <c r="D10" s="207"/>
      <c r="E10" s="208"/>
      <c r="F10" s="208"/>
      <c r="G10" s="208"/>
      <c r="H10" s="208"/>
      <c r="I10" s="194"/>
    </row>
    <row r="11" spans="4:9" ht="3" customHeight="1" thickBot="1">
      <c r="D11" s="52"/>
      <c r="E11" s="53"/>
      <c r="F11" s="53"/>
      <c r="G11" s="53"/>
      <c r="H11" s="53"/>
      <c r="I11" s="54"/>
    </row>
    <row r="12" spans="1:9" ht="15.75" customHeight="1">
      <c r="A12" s="194" t="str">
        <f>Data!$X$287&amp;" "&amp;Data!$F$287&amp;":"</f>
        <v>ODER BAULÄNGE MM:</v>
      </c>
      <c r="B12" s="191">
        <v>1200</v>
      </c>
      <c r="D12" s="202" t="str">
        <f>Data!Y$287&amp;" "&amp;Data!$F$287&amp;": "&amp;Data!$P$32&amp;", "&amp;Data!$Z$287&amp;" "&amp;Data!$F$287&amp;": "&amp;Data!$P$44&amp;". "&amp;Data!$AA$287</f>
        <v>MIN. BAULÄNGE MM: 1000, MAX. BAULÄNGE MM: 3400. BITTE KONTAKTIEREN SIE MEINERTZ FÜR SONDERGRÖSSEN ODER SONDERAUSFÜHRUNGEN.</v>
      </c>
      <c r="E12" s="198"/>
      <c r="F12" s="198"/>
      <c r="G12" s="198"/>
      <c r="H12" s="198"/>
      <c r="I12" s="199"/>
    </row>
    <row r="13" spans="1:9" ht="3" customHeight="1">
      <c r="A13" s="194"/>
      <c r="B13" s="192"/>
      <c r="D13" s="202"/>
      <c r="E13" s="198"/>
      <c r="F13" s="198"/>
      <c r="G13" s="198"/>
      <c r="H13" s="198"/>
      <c r="I13" s="199"/>
    </row>
    <row r="14" spans="1:9" ht="15" customHeight="1" thickBot="1">
      <c r="A14" s="194"/>
      <c r="B14" s="193"/>
      <c r="D14" s="202"/>
      <c r="E14" s="198"/>
      <c r="F14" s="198"/>
      <c r="G14" s="198"/>
      <c r="H14" s="198"/>
      <c r="I14" s="199"/>
    </row>
    <row r="15" spans="4:9" ht="15" customHeight="1" thickBot="1">
      <c r="D15" s="203"/>
      <c r="E15" s="200"/>
      <c r="F15" s="200"/>
      <c r="G15" s="200"/>
      <c r="H15" s="200"/>
      <c r="I15" s="201"/>
    </row>
    <row r="17" ht="14.25">
      <c r="B17" s="68"/>
    </row>
    <row r="18" ht="14.25">
      <c r="B18" s="68"/>
    </row>
    <row r="19" ht="14.25">
      <c r="B19" s="68"/>
    </row>
    <row r="20" ht="14.25">
      <c r="B20" s="68"/>
    </row>
    <row r="21" ht="14.25">
      <c r="B21" s="68"/>
    </row>
    <row r="22" ht="14.25">
      <c r="B22" s="68"/>
    </row>
  </sheetData>
  <sheetProtection password="CF4F" sheet="1" selectLockedCells="1"/>
  <mergeCells count="7">
    <mergeCell ref="D12:I15"/>
    <mergeCell ref="D8:I10"/>
    <mergeCell ref="D2:I2"/>
    <mergeCell ref="A8:A10"/>
    <mergeCell ref="B8:B10"/>
    <mergeCell ref="B12:B14"/>
    <mergeCell ref="A12:A14"/>
  </mergeCells>
  <conditionalFormatting sqref="B4">
    <cfRule type="expression" priority="3" dxfId="0" stopIfTrue="1">
      <formula>$B$4&lt;$B$6+10</formula>
    </cfRule>
  </conditionalFormatting>
  <conditionalFormatting sqref="B4">
    <cfRule type="expression" priority="2" dxfId="4" stopIfTrue="1">
      <formula>($B$4&lt;=$B$6)</formula>
    </cfRule>
  </conditionalFormatting>
  <conditionalFormatting sqref="B4">
    <cfRule type="expression" priority="1" dxfId="0" stopIfTrue="1">
      <formula>$B$4&lt;$B$6+10</formula>
    </cfRule>
  </conditionalFormatting>
  <dataValidations count="2">
    <dataValidation type="list" allowBlank="1" showInputMessage="1" showErrorMessage="1" sqref="B12">
      <formula1>ConvecLengths</formula1>
    </dataValidation>
    <dataValidation type="list" allowBlank="1" showInputMessage="1" showErrorMessage="1" sqref="B4">
      <formula1>TEMPSETCONVEC1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50"/>
  <sheetViews>
    <sheetView showGridLines="0" zoomScalePageLayoutView="0" workbookViewId="0" topLeftCell="A1">
      <selection activeCell="B43" sqref="B43:B45"/>
    </sheetView>
  </sheetViews>
  <sheetFormatPr defaultColWidth="9.140625" defaultRowHeight="15"/>
  <cols>
    <col min="1" max="1" width="24.28125" style="1" customWidth="1"/>
    <col min="2" max="2" width="9.28125" style="1" customWidth="1"/>
    <col min="3" max="3" width="2.8515625" style="1" customWidth="1"/>
    <col min="4" max="31" width="1.57421875" style="1" customWidth="1"/>
    <col min="32" max="32" width="20.7109375" style="1" customWidth="1"/>
    <col min="33" max="33" width="18.57421875" style="1" customWidth="1"/>
    <col min="34" max="34" width="9.28125" style="1" customWidth="1"/>
    <col min="35" max="35" width="18.7109375" style="1" customWidth="1"/>
    <col min="36" max="36" width="9.28125" style="1" customWidth="1"/>
    <col min="37" max="37" width="9.140625" style="1" customWidth="1"/>
    <col min="38" max="38" width="9.140625" style="1" hidden="1" customWidth="1"/>
    <col min="39" max="16384" width="9.140625" style="1" customWidth="1"/>
  </cols>
  <sheetData>
    <row r="1" ht="15" thickBot="1"/>
    <row r="2" spans="32:36" ht="26.25" thickBot="1">
      <c r="AF2" s="188" t="str">
        <f>Data!D287&amp;":"</f>
        <v>OPTIONEN:</v>
      </c>
      <c r="AG2" s="189"/>
      <c r="AH2" s="189"/>
      <c r="AI2" s="189"/>
      <c r="AJ2" s="190"/>
    </row>
    <row r="3" spans="32:36" ht="15" customHeight="1" thickBot="1">
      <c r="AF3" s="110" t="str">
        <f>Data!N287&amp;Data!G287</f>
        <v>KONVEKTOR TYP</v>
      </c>
      <c r="AG3" s="111" t="str">
        <f>Data!$F$287</f>
        <v>BAULÄNGE MM</v>
      </c>
      <c r="AH3" s="112" t="str">
        <f>Data!$H$287</f>
        <v>WATT</v>
      </c>
      <c r="AI3" s="130" t="str">
        <f>Data!$F$287</f>
        <v>BAULÄNGE MM</v>
      </c>
      <c r="AJ3" s="131" t="str">
        <f>Data!$H$287</f>
        <v>WATT</v>
      </c>
    </row>
    <row r="4" spans="1:38" ht="15" customHeight="1" thickBot="1">
      <c r="A4" s="1" t="str">
        <f>Data!J287&amp;":"</f>
        <v>VORLAUF:</v>
      </c>
      <c r="B4" s="77">
        <v>75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39"/>
      <c r="U4" s="41"/>
      <c r="V4" s="60"/>
      <c r="W4" s="60"/>
      <c r="X4" s="60"/>
      <c r="Y4" s="64"/>
      <c r="Z4" s="64"/>
      <c r="AA4" s="64"/>
      <c r="AB4" s="64"/>
      <c r="AC4" s="41"/>
      <c r="AD4" s="41"/>
      <c r="AE4" s="41"/>
      <c r="AF4" s="113" t="str">
        <f>Data!$A$47&amp;" "&amp;INDEX(OUTPUT4,AL4,1)</f>
        <v>PL07 03 5/0</v>
      </c>
      <c r="AG4" s="79">
        <f>IF(ROUNDUP($B$43/INDEX(OUTPUT4,AL4,7)*VLOOKUP($B$39,ProHeights1,2),1)*1000&lt;=Data!$B$65,Data!$B$65,IF(ROUNDUP($B$43/INDEX(OUTPUT4,AL4,7)*VLOOKUP($B$39,ProHeights1,2),1)*1000&lt;=Data!$B$66,ROUNDUP($B$43/INDEX(OUTPUT4,AL4,7)*VLOOKUP($B$39,ProHeights1,2),1)*1000,""))</f>
        <v>4600</v>
      </c>
      <c r="AH4" s="150">
        <f>IF($AG4="","",ROUND(($AG4/1000)*INDEX(OUTPUT4,AL4,7),0))</f>
        <v>1012</v>
      </c>
      <c r="AI4" s="86">
        <f>IF(AND($B$47&gt;=Data!$B$65,$B$47&lt;=Data!$B$66),$B$47,"")</f>
        <v>1200</v>
      </c>
      <c r="AJ4" s="132">
        <f>IF($AI4="","",ROUND(($AI4/1000)*INDEX(OUTPUT4,AL4,7)*VLOOKUP($B$39,ProHeights1,2),0))</f>
        <v>264</v>
      </c>
      <c r="AL4" s="1">
        <v>2</v>
      </c>
    </row>
    <row r="5" spans="2:36" ht="3" customHeight="1" thickBot="1">
      <c r="B5" s="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114"/>
      <c r="AG5" s="81"/>
      <c r="AH5" s="151"/>
      <c r="AI5" s="88"/>
      <c r="AJ5" s="126"/>
    </row>
    <row r="6" spans="1:38" ht="15" customHeight="1" thickBot="1">
      <c r="A6" s="1" t="str">
        <f>Data!K287&amp;":"</f>
        <v>RÜCKLAUF:</v>
      </c>
      <c r="B6" s="77">
        <v>65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60"/>
      <c r="V6" s="60"/>
      <c r="W6" s="60"/>
      <c r="X6" s="60"/>
      <c r="Y6" s="64"/>
      <c r="Z6" s="64"/>
      <c r="AA6" s="64"/>
      <c r="AB6" s="64"/>
      <c r="AC6" s="64"/>
      <c r="AD6" s="39"/>
      <c r="AE6" s="39"/>
      <c r="AF6" s="114" t="str">
        <f>Data!$A$47&amp;" "&amp;INDEX(OUTPUT4,AL6,1)</f>
        <v>PL07 04 5/0</v>
      </c>
      <c r="AG6" s="81">
        <f>IF(ROUNDUP($B$43/INDEX(OUTPUT4,AL6,7)*VLOOKUP($B$39,ProHeights1,2),1)*1000&lt;=Data!$B$65,Data!$B$65,IF(ROUNDUP($B$43/INDEX(OUTPUT4,AL6,7)*VLOOKUP($B$39,ProHeights1,2),1)*1000&lt;=Data!$B$66,ROUNDUP($B$43/INDEX(OUTPUT4,AL6,7)*VLOOKUP($B$39,ProHeights1,2),1)*1000,""))</f>
        <v>3600</v>
      </c>
      <c r="AH6" s="151">
        <f>IF($AG6="","",ROUND(($AG6/1000)*INDEX(OUTPUT4,AL6,7),0))</f>
        <v>1004</v>
      </c>
      <c r="AI6" s="88">
        <f>$AI$4</f>
        <v>1200</v>
      </c>
      <c r="AJ6" s="126">
        <f>IF($AI6="","",ROUND(($AI6/1000)*INDEX(OUTPUT4,AL6,7)*VLOOKUP($B$39,ProHeights1,2),0))</f>
        <v>335</v>
      </c>
      <c r="AL6" s="1">
        <v>3</v>
      </c>
    </row>
    <row r="7" spans="4:36" ht="3" customHeight="1" thickBot="1"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114"/>
      <c r="AG7" s="81"/>
      <c r="AH7" s="151"/>
      <c r="AI7" s="88"/>
      <c r="AJ7" s="126"/>
    </row>
    <row r="8" spans="1:38" ht="15" customHeight="1" thickBot="1">
      <c r="A8" s="1" t="str">
        <f>Data!L287&amp;":"</f>
        <v>ZIMMER:</v>
      </c>
      <c r="B8" s="77">
        <v>20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  <c r="W8" s="60"/>
      <c r="X8" s="60"/>
      <c r="Y8" s="64"/>
      <c r="Z8" s="64"/>
      <c r="AA8" s="64"/>
      <c r="AB8" s="64"/>
      <c r="AC8" s="64"/>
      <c r="AD8" s="39"/>
      <c r="AE8" s="39"/>
      <c r="AF8" s="114" t="str">
        <f>Data!$A$47&amp;" "&amp;INDEX(OUTPUT4,AL8,1)</f>
        <v>PL07 05 5/0</v>
      </c>
      <c r="AG8" s="81">
        <f>IF(ROUNDUP($B$43/INDEX(OUTPUT4,AL8,7)*VLOOKUP($B$39,ProHeights1,2),1)*1000&lt;=Data!$B$65,Data!$B$65,IF(ROUNDUP($B$43/INDEX(OUTPUT4,AL8,7)*VLOOKUP($B$39,ProHeights1,2),1)*1000&lt;=Data!$B$66,ROUNDUP($B$43/INDEX(OUTPUT4,AL8,7)*VLOOKUP($B$39,ProHeights1,2),1)*1000,""))</f>
        <v>3100</v>
      </c>
      <c r="AH8" s="151">
        <f>IF($AG8="","",ROUND(($AG8/1000)*INDEX(OUTPUT4,AL8,7),0))</f>
        <v>1026</v>
      </c>
      <c r="AI8" s="88">
        <f>$AI$4</f>
        <v>1200</v>
      </c>
      <c r="AJ8" s="126">
        <f>IF($AI8="","",ROUND(($AI8/1000)*INDEX(OUTPUT4,AL8,7)*VLOOKUP($B$39,ProHeights1,2),0))</f>
        <v>397</v>
      </c>
      <c r="AL8" s="1">
        <v>4</v>
      </c>
    </row>
    <row r="9" spans="4:36" ht="3" customHeight="1"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114"/>
      <c r="AG9" s="81"/>
      <c r="AH9" s="151"/>
      <c r="AI9" s="88"/>
      <c r="AJ9" s="126"/>
    </row>
    <row r="10" spans="4:38" ht="15" customHeight="1"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60"/>
      <c r="T10" s="60"/>
      <c r="U10" s="60"/>
      <c r="V10" s="60"/>
      <c r="W10" s="60"/>
      <c r="X10" s="60"/>
      <c r="Y10" s="64"/>
      <c r="Z10" s="64"/>
      <c r="AA10" s="64"/>
      <c r="AB10" s="64"/>
      <c r="AC10" s="64"/>
      <c r="AD10" s="64"/>
      <c r="AE10" s="41"/>
      <c r="AF10" s="114" t="str">
        <f>Data!$A$47&amp;" "&amp;INDEX(OUTPUT4,AL10,1)</f>
        <v>PL07 06 6/0</v>
      </c>
      <c r="AG10" s="81">
        <f>IF(ROUNDUP($B$43/INDEX(OUTPUT4,AL10,7)*VLOOKUP($B$39,ProHeights1,2),1)*1000&lt;=Data!$B$65,Data!$B$65,IF(ROUNDUP($B$43/INDEX(OUTPUT4,AL10,7)*VLOOKUP($B$39,ProHeights1,2),1)*1000&lt;=Data!$B$66,ROUNDUP($B$43/INDEX(OUTPUT4,AL10,7)*VLOOKUP($B$39,ProHeights1,2),1)*1000,""))</f>
        <v>2700</v>
      </c>
      <c r="AH10" s="151">
        <f>IF($AG10="","",ROUND(($AG10/1000)*INDEX(OUTPUT4,AL10,7),0))</f>
        <v>1018</v>
      </c>
      <c r="AI10" s="88">
        <f>$AI$4</f>
        <v>1200</v>
      </c>
      <c r="AJ10" s="126">
        <f>IF($AI10="","",ROUND(($AI10/1000)*INDEX(OUTPUT4,AL10,7)*VLOOKUP($B$39,ProHeights1,2),0))</f>
        <v>452</v>
      </c>
      <c r="AL10" s="1">
        <v>5</v>
      </c>
    </row>
    <row r="11" spans="4:36" ht="3" customHeight="1"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114"/>
      <c r="AG11" s="81"/>
      <c r="AH11" s="151"/>
      <c r="AI11" s="88"/>
      <c r="AJ11" s="126"/>
    </row>
    <row r="12" spans="4:38" ht="15" customHeight="1"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60"/>
      <c r="S12" s="60"/>
      <c r="T12" s="60"/>
      <c r="U12" s="60"/>
      <c r="V12" s="60"/>
      <c r="W12" s="60"/>
      <c r="X12" s="60"/>
      <c r="Y12" s="64"/>
      <c r="Z12" s="64"/>
      <c r="AA12" s="64"/>
      <c r="AB12" s="64"/>
      <c r="AC12" s="64"/>
      <c r="AD12" s="64"/>
      <c r="AE12" s="64"/>
      <c r="AF12" s="114" t="str">
        <f>Data!$A$47&amp;" "&amp;INDEX(OUTPUT4,AL12,1)</f>
        <v>PL07 07 7/0</v>
      </c>
      <c r="AG12" s="81">
        <f>IF(ROUNDUP($B$43/INDEX(OUTPUT4,AL12,7)*VLOOKUP($B$39,ProHeights1,2),1)*1000&lt;=Data!$B$65,Data!$B$65,IF(ROUNDUP($B$43/INDEX(OUTPUT4,AL12,7)*VLOOKUP($B$39,ProHeights1,2),1)*1000&lt;=Data!$B$66,ROUNDUP($B$43/INDEX(OUTPUT4,AL12,7)*VLOOKUP($B$39,ProHeights1,2),1)*1000,""))</f>
        <v>2500</v>
      </c>
      <c r="AH12" s="151">
        <f>IF($AG12="","",ROUND(($AG12/1000)*INDEX(OUTPUT4,AL12,7),0))</f>
        <v>1040</v>
      </c>
      <c r="AI12" s="88">
        <f>$AI$4</f>
        <v>1200</v>
      </c>
      <c r="AJ12" s="126">
        <f>IF($AI12="","",ROUND(($AI12/1000)*INDEX(OUTPUT4,AL12,7)*VLOOKUP($B$39,ProHeights1,2),0))</f>
        <v>499</v>
      </c>
      <c r="AL12" s="1">
        <v>6</v>
      </c>
    </row>
    <row r="13" spans="4:36" ht="3" customHeight="1"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114"/>
      <c r="AG13" s="81"/>
      <c r="AH13" s="151"/>
      <c r="AI13" s="88"/>
      <c r="AJ13" s="126"/>
    </row>
    <row r="14" spans="4:38" ht="15" customHeight="1">
      <c r="D14" s="39"/>
      <c r="E14" s="39"/>
      <c r="F14" s="39"/>
      <c r="G14" s="39"/>
      <c r="H14" s="39"/>
      <c r="I14" s="39"/>
      <c r="J14" s="39"/>
      <c r="K14" s="39"/>
      <c r="L14" s="39"/>
      <c r="M14" s="41"/>
      <c r="N14" s="41"/>
      <c r="O14" s="41"/>
      <c r="P14" s="41"/>
      <c r="Q14" s="64"/>
      <c r="R14" s="64"/>
      <c r="S14" s="64"/>
      <c r="T14" s="64"/>
      <c r="U14" s="65"/>
      <c r="V14" s="60"/>
      <c r="W14" s="60"/>
      <c r="X14" s="60"/>
      <c r="Y14" s="64"/>
      <c r="Z14" s="64"/>
      <c r="AA14" s="64"/>
      <c r="AB14" s="64"/>
      <c r="AC14" s="64"/>
      <c r="AD14" s="41"/>
      <c r="AE14" s="41"/>
      <c r="AF14" s="114" t="str">
        <f>Data!$A$47&amp;" "&amp;INDEX(OUTPUT4,AL14,1)</f>
        <v>PL07 03 5/5</v>
      </c>
      <c r="AG14" s="81">
        <f>IF(ROUNDUP($B$43/INDEX(OUTPUT4,AL14,7)*VLOOKUP($B$39,ProHeights1,2),1)*1000&lt;=Data!$B$65,Data!$B$65,IF(ROUNDUP($B$43/INDEX(OUTPUT4,AL14,7)*VLOOKUP($B$39,ProHeights1,2),1)*1000&lt;=Data!$B$66,ROUNDUP($B$43/INDEX(OUTPUT4,AL14,7)*VLOOKUP($B$39,ProHeights1,2),1)*1000,""))</f>
        <v>4300</v>
      </c>
      <c r="AH14" s="151">
        <f>IF($AG14="","",ROUND(($AG14/1000)*INDEX(OUTPUT4,AL14,7),0))</f>
        <v>1015</v>
      </c>
      <c r="AI14" s="88">
        <f>$AI$4</f>
        <v>1200</v>
      </c>
      <c r="AJ14" s="126">
        <f>IF($AI14="","",ROUND(($AI14/1000)*INDEX(OUTPUT4,AL14,7)*VLOOKUP($B$39,ProHeights1,2),0))</f>
        <v>283</v>
      </c>
      <c r="AL14" s="1">
        <v>7</v>
      </c>
    </row>
    <row r="15" spans="4:36" ht="3" customHeight="1">
      <c r="D15" s="39"/>
      <c r="E15" s="39"/>
      <c r="F15" s="39"/>
      <c r="G15" s="39"/>
      <c r="H15" s="39"/>
      <c r="I15" s="39"/>
      <c r="J15" s="39"/>
      <c r="K15" s="39"/>
      <c r="L15" s="39"/>
      <c r="M15" s="41"/>
      <c r="N15" s="41"/>
      <c r="O15" s="41"/>
      <c r="P15" s="41"/>
      <c r="Q15" s="41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114"/>
      <c r="AG15" s="81"/>
      <c r="AH15" s="151"/>
      <c r="AI15" s="88"/>
      <c r="AJ15" s="126"/>
    </row>
    <row r="16" spans="4:38" ht="15" customHeight="1">
      <c r="D16" s="39"/>
      <c r="E16" s="39"/>
      <c r="F16" s="39"/>
      <c r="G16" s="39"/>
      <c r="H16" s="39"/>
      <c r="I16" s="39"/>
      <c r="J16" s="39"/>
      <c r="K16" s="39"/>
      <c r="L16" s="39"/>
      <c r="M16" s="41"/>
      <c r="N16" s="41"/>
      <c r="O16" s="41"/>
      <c r="P16" s="64"/>
      <c r="Q16" s="64"/>
      <c r="R16" s="64"/>
      <c r="S16" s="64"/>
      <c r="T16" s="65"/>
      <c r="U16" s="60"/>
      <c r="V16" s="60"/>
      <c r="W16" s="60"/>
      <c r="X16" s="60"/>
      <c r="Y16" s="64"/>
      <c r="Z16" s="64"/>
      <c r="AA16" s="64"/>
      <c r="AB16" s="64"/>
      <c r="AC16" s="64"/>
      <c r="AD16" s="39"/>
      <c r="AE16" s="39"/>
      <c r="AF16" s="114" t="str">
        <f>Data!$A$47&amp;" "&amp;INDEX(OUTPUT4,AL16,1)</f>
        <v>PL07 04 5/5</v>
      </c>
      <c r="AG16" s="81">
        <f>IF(ROUNDUP($B$43/INDEX(OUTPUT4,AL16,7)*VLOOKUP($B$39,ProHeights1,2),1)*1000&lt;=Data!$B$65,Data!$B$65,IF(ROUNDUP($B$43/INDEX(OUTPUT4,AL16,7)*VLOOKUP($B$39,ProHeights1,2),1)*1000&lt;=Data!$B$66,ROUNDUP($B$43/INDEX(OUTPUT4,AL16,7)*VLOOKUP($B$39,ProHeights1,2),1)*1000,""))</f>
        <v>3300.0000000000005</v>
      </c>
      <c r="AH16" s="151">
        <f>IF($AG16="","",ROUND(($AG16/1000)*INDEX(OUTPUT4,AL16,7),0))</f>
        <v>1016</v>
      </c>
      <c r="AI16" s="88">
        <f>$AI$4</f>
        <v>1200</v>
      </c>
      <c r="AJ16" s="126">
        <f>IF($AI16="","",ROUND(($AI16/1000)*INDEX(OUTPUT4,AL16,7)*VLOOKUP($B$39,ProHeights1,2),0))</f>
        <v>370</v>
      </c>
      <c r="AL16" s="1">
        <v>8</v>
      </c>
    </row>
    <row r="17" spans="4:36" ht="3" customHeight="1">
      <c r="D17" s="39"/>
      <c r="E17" s="39"/>
      <c r="F17" s="39"/>
      <c r="G17" s="39"/>
      <c r="H17" s="39"/>
      <c r="I17" s="39"/>
      <c r="J17" s="39"/>
      <c r="K17" s="39"/>
      <c r="L17" s="39"/>
      <c r="M17" s="41"/>
      <c r="N17" s="41"/>
      <c r="O17" s="41"/>
      <c r="P17" s="41"/>
      <c r="Q17" s="41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14"/>
      <c r="AG17" s="81"/>
      <c r="AH17" s="151"/>
      <c r="AI17" s="88"/>
      <c r="AJ17" s="126"/>
    </row>
    <row r="18" spans="4:38" ht="15" customHeight="1">
      <c r="D18" s="39"/>
      <c r="E18" s="39"/>
      <c r="F18" s="39"/>
      <c r="G18" s="39"/>
      <c r="H18" s="39"/>
      <c r="I18" s="39"/>
      <c r="J18" s="39"/>
      <c r="K18" s="39"/>
      <c r="L18" s="39"/>
      <c r="M18" s="41"/>
      <c r="N18" s="41"/>
      <c r="O18" s="64"/>
      <c r="P18" s="64"/>
      <c r="Q18" s="64"/>
      <c r="R18" s="64"/>
      <c r="S18" s="65"/>
      <c r="T18" s="60"/>
      <c r="U18" s="60"/>
      <c r="V18" s="60"/>
      <c r="W18" s="60"/>
      <c r="X18" s="60"/>
      <c r="Y18" s="64"/>
      <c r="Z18" s="64"/>
      <c r="AA18" s="64"/>
      <c r="AB18" s="64"/>
      <c r="AC18" s="64"/>
      <c r="AD18" s="39"/>
      <c r="AE18" s="39"/>
      <c r="AF18" s="114" t="str">
        <f>Data!$A$47&amp;" "&amp;INDEX(OUTPUT4,AL18,1)</f>
        <v>PL07 05 5/5</v>
      </c>
      <c r="AG18" s="81">
        <f>IF(ROUNDUP($B$43/INDEX(OUTPUT4,AL18,7)*VLOOKUP($B$39,ProHeights1,2),1)*1000&lt;=Data!$B$65,Data!$B$65,IF(ROUNDUP($B$43/INDEX(OUTPUT4,AL18,7)*VLOOKUP($B$39,ProHeights1,2),1)*1000&lt;=Data!$B$66,ROUNDUP($B$43/INDEX(OUTPUT4,AL18,7)*VLOOKUP($B$39,ProHeights1,2),1)*1000,""))</f>
        <v>2800.0000000000005</v>
      </c>
      <c r="AH18" s="151">
        <f>IF($AG18="","",ROUND(($AG18/1000)*INDEX(OUTPUT4,AL18,7),0))</f>
        <v>1033</v>
      </c>
      <c r="AI18" s="88">
        <f>$AI$4</f>
        <v>1200</v>
      </c>
      <c r="AJ18" s="126">
        <f>IF($AI18="","",ROUND(($AI18/1000)*INDEX(OUTPUT4,AL18,7)*VLOOKUP($B$39,ProHeights1,2),0))</f>
        <v>443</v>
      </c>
      <c r="AL18" s="1">
        <v>9</v>
      </c>
    </row>
    <row r="19" spans="4:36" ht="3" customHeight="1">
      <c r="D19" s="39"/>
      <c r="E19" s="39"/>
      <c r="F19" s="39"/>
      <c r="G19" s="39"/>
      <c r="H19" s="39"/>
      <c r="I19" s="39"/>
      <c r="J19" s="39"/>
      <c r="K19" s="39"/>
      <c r="L19" s="39"/>
      <c r="M19" s="41"/>
      <c r="N19" s="41"/>
      <c r="O19" s="41"/>
      <c r="P19" s="41"/>
      <c r="Q19" s="41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114"/>
      <c r="AG19" s="81"/>
      <c r="AH19" s="151"/>
      <c r="AI19" s="88"/>
      <c r="AJ19" s="126"/>
    </row>
    <row r="20" spans="4:38" ht="15" customHeight="1">
      <c r="D20" s="39"/>
      <c r="E20" s="39"/>
      <c r="F20" s="39"/>
      <c r="G20" s="39"/>
      <c r="H20" s="39"/>
      <c r="I20" s="39"/>
      <c r="J20" s="39"/>
      <c r="K20" s="39"/>
      <c r="L20" s="39"/>
      <c r="M20" s="64"/>
      <c r="N20" s="64"/>
      <c r="O20" s="64"/>
      <c r="P20" s="64"/>
      <c r="Q20" s="64"/>
      <c r="R20" s="65"/>
      <c r="S20" s="60"/>
      <c r="T20" s="60"/>
      <c r="U20" s="60"/>
      <c r="V20" s="60"/>
      <c r="W20" s="60"/>
      <c r="X20" s="60"/>
      <c r="Y20" s="64"/>
      <c r="Z20" s="64"/>
      <c r="AA20" s="64"/>
      <c r="AB20" s="64"/>
      <c r="AC20" s="64"/>
      <c r="AD20" s="39"/>
      <c r="AE20" s="41"/>
      <c r="AF20" s="114" t="str">
        <f>Data!$A$47&amp;" "&amp;INDEX(OUTPUT4,AL20,1)</f>
        <v>PL07 06 6/5</v>
      </c>
      <c r="AG20" s="81">
        <f>IF(ROUNDUP($B$43/INDEX(OUTPUT4,AL20,7)*VLOOKUP($B$39,ProHeights1,2),1)*1000&lt;=Data!$B$65,Data!$B$65,IF(ROUNDUP($B$43/INDEX(OUTPUT4,AL20,7)*VLOOKUP($B$39,ProHeights1,2),1)*1000&lt;=Data!$B$66,ROUNDUP($B$43/INDEX(OUTPUT4,AL20,7)*VLOOKUP($B$39,ProHeights1,2),1)*1000,""))</f>
        <v>2400</v>
      </c>
      <c r="AH20" s="151">
        <f>IF($AG20="","",ROUND(($AG20/1000)*INDEX(OUTPUT4,AL20,7),0))</f>
        <v>1008</v>
      </c>
      <c r="AI20" s="88">
        <f>$AI$4</f>
        <v>1200</v>
      </c>
      <c r="AJ20" s="126">
        <f>IF($AI20="","",ROUND(($AI20/1000)*INDEX(OUTPUT4,AL20,7)*VLOOKUP($B$39,ProHeights1,2),0))</f>
        <v>504</v>
      </c>
      <c r="AL20" s="1">
        <v>10</v>
      </c>
    </row>
    <row r="21" spans="4:36" ht="3" customHeight="1"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114"/>
      <c r="AG21" s="81"/>
      <c r="AH21" s="151"/>
      <c r="AI21" s="88"/>
      <c r="AJ21" s="126"/>
    </row>
    <row r="22" spans="4:38" ht="15" customHeight="1">
      <c r="D22" s="39"/>
      <c r="E22" s="39"/>
      <c r="F22" s="39"/>
      <c r="G22" s="39"/>
      <c r="H22" s="39"/>
      <c r="I22" s="39"/>
      <c r="J22" s="39"/>
      <c r="K22" s="64"/>
      <c r="L22" s="64"/>
      <c r="M22" s="64"/>
      <c r="N22" s="64"/>
      <c r="O22" s="64"/>
      <c r="P22" s="64"/>
      <c r="Q22" s="65"/>
      <c r="R22" s="60"/>
      <c r="S22" s="60"/>
      <c r="T22" s="60"/>
      <c r="U22" s="60"/>
      <c r="V22" s="60"/>
      <c r="W22" s="60"/>
      <c r="X22" s="60"/>
      <c r="Y22" s="64"/>
      <c r="Z22" s="64"/>
      <c r="AA22" s="64"/>
      <c r="AB22" s="64"/>
      <c r="AC22" s="64"/>
      <c r="AD22" s="64"/>
      <c r="AE22" s="64"/>
      <c r="AF22" s="114" t="str">
        <f>Data!$A$47&amp;" "&amp;INDEX(OUTPUT4,AL22,1)</f>
        <v>PL07 07 7/7</v>
      </c>
      <c r="AG22" s="81">
        <f>IF(ROUNDUP($B$43/INDEX(OUTPUT4,AL22,7)*VLOOKUP($B$39,ProHeights1,2),1)*1000&lt;=Data!$B$65,Data!$B$65,IF(ROUNDUP($B$43/INDEX(OUTPUT4,AL22,7)*VLOOKUP($B$39,ProHeights1,2),1)*1000&lt;=Data!$B$66,ROUNDUP($B$43/INDEX(OUTPUT4,AL22,7)*VLOOKUP($B$39,ProHeights1,2),1)*1000,""))</f>
        <v>2200</v>
      </c>
      <c r="AH22" s="151">
        <f>IF($AG22="","",ROUND(($AG22/1000)*INDEX(OUTPUT4,AL22,7),0))</f>
        <v>1016</v>
      </c>
      <c r="AI22" s="88">
        <f>$AI$4</f>
        <v>1200</v>
      </c>
      <c r="AJ22" s="126">
        <f>IF($AI22="","",ROUND(($AI22/1000)*INDEX(OUTPUT4,AL22,7)*VLOOKUP($B$39,ProHeights1,2),0))</f>
        <v>554</v>
      </c>
      <c r="AL22" s="1">
        <v>11</v>
      </c>
    </row>
    <row r="23" spans="4:36" ht="3" customHeight="1"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114"/>
      <c r="AG23" s="81"/>
      <c r="AH23" s="151"/>
      <c r="AI23" s="88"/>
      <c r="AJ23" s="126"/>
    </row>
    <row r="24" spans="4:38" ht="15" customHeight="1"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4"/>
      <c r="O24" s="64"/>
      <c r="P24" s="65"/>
      <c r="Q24" s="60"/>
      <c r="R24" s="60"/>
      <c r="S24" s="60"/>
      <c r="T24" s="60"/>
      <c r="U24" s="60"/>
      <c r="V24" s="60"/>
      <c r="W24" s="60"/>
      <c r="X24" s="60"/>
      <c r="Y24" s="64"/>
      <c r="Z24" s="64"/>
      <c r="AA24" s="64"/>
      <c r="AB24" s="64"/>
      <c r="AC24" s="64"/>
      <c r="AD24" s="39"/>
      <c r="AE24" s="39"/>
      <c r="AF24" s="114" t="str">
        <f>Data!$A$47&amp;" "&amp;INDEX(OUTPUT4,AL24,1)</f>
        <v>PL07 08 5/3</v>
      </c>
      <c r="AG24" s="81">
        <f>IF(ROUNDUP($B$43/INDEX(OUTPUT4,AL24,7)*VLOOKUP($B$39,ProHeights1,2),1)*1000&lt;=Data!$B$65,Data!$B$65,IF(ROUNDUP($B$43/INDEX(OUTPUT4,AL24,7)*VLOOKUP($B$39,ProHeights1,2),1)*1000&lt;=Data!$B$66,ROUNDUP($B$43/INDEX(OUTPUT4,AL24,7)*VLOOKUP($B$39,ProHeights1,2),1)*1000,""))</f>
        <v>2000</v>
      </c>
      <c r="AH24" s="151">
        <f>IF($AG24="","",ROUND(($AG24/1000)*INDEX(OUTPUT4,AL24,7),0))</f>
        <v>1042</v>
      </c>
      <c r="AI24" s="88">
        <f>$AI$4</f>
        <v>1200</v>
      </c>
      <c r="AJ24" s="126">
        <f>IF($AI24="","",ROUND(($AI24/1000)*INDEX(OUTPUT4,AL24,7)*VLOOKUP($B$39,ProHeights1,2),0))</f>
        <v>625</v>
      </c>
      <c r="AL24" s="1">
        <v>12</v>
      </c>
    </row>
    <row r="25" spans="4:36" ht="3" customHeight="1"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114"/>
      <c r="AG25" s="81"/>
      <c r="AH25" s="151"/>
      <c r="AI25" s="88"/>
      <c r="AJ25" s="126"/>
    </row>
    <row r="26" spans="4:38" ht="15" customHeight="1">
      <c r="D26" s="39"/>
      <c r="E26" s="39"/>
      <c r="F26" s="39"/>
      <c r="G26" s="39"/>
      <c r="H26" s="39"/>
      <c r="I26" s="39"/>
      <c r="J26" s="41"/>
      <c r="K26" s="41"/>
      <c r="L26" s="64"/>
      <c r="M26" s="64"/>
      <c r="N26" s="64"/>
      <c r="O26" s="65"/>
      <c r="P26" s="60"/>
      <c r="Q26" s="60"/>
      <c r="R26" s="60"/>
      <c r="S26" s="60"/>
      <c r="T26" s="60"/>
      <c r="U26" s="60"/>
      <c r="V26" s="60"/>
      <c r="W26" s="60"/>
      <c r="X26" s="60"/>
      <c r="Y26" s="64"/>
      <c r="Z26" s="64"/>
      <c r="AA26" s="64"/>
      <c r="AB26" s="64"/>
      <c r="AC26" s="64"/>
      <c r="AD26" s="39"/>
      <c r="AE26" s="39"/>
      <c r="AF26" s="114" t="str">
        <f>Data!$A$47&amp;" "&amp;INDEX(OUTPUT4,AL26,1)</f>
        <v>PL07 09 5/4</v>
      </c>
      <c r="AG26" s="81">
        <f>IF(ROUNDUP($B$43/INDEX(OUTPUT4,AL26,7)*VLOOKUP($B$39,ProHeights1,2),1)*1000&lt;=Data!$B$65,Data!$B$65,IF(ROUNDUP($B$43/INDEX(OUTPUT4,AL26,7)*VLOOKUP($B$39,ProHeights1,2),1)*1000&lt;=Data!$B$66,ROUNDUP($B$43/INDEX(OUTPUT4,AL26,7)*VLOOKUP($B$39,ProHeights1,2),1)*1000,""))</f>
        <v>1800</v>
      </c>
      <c r="AH26" s="151">
        <f>IF($AG26="","",ROUND(($AG26/1000)*INDEX(OUTPUT4,AL26,7),0))</f>
        <v>1013</v>
      </c>
      <c r="AI26" s="88">
        <f>$AI$4</f>
        <v>1200</v>
      </c>
      <c r="AJ26" s="126">
        <f>IF($AI26="","",ROUND(($AI26/1000)*INDEX(OUTPUT4,AL26,7)*VLOOKUP($B$39,ProHeights1,2),0))</f>
        <v>676</v>
      </c>
      <c r="AL26" s="1">
        <v>13</v>
      </c>
    </row>
    <row r="27" spans="4:36" ht="3" customHeight="1"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114"/>
      <c r="AG27" s="81"/>
      <c r="AH27" s="151"/>
      <c r="AI27" s="88"/>
      <c r="AJ27" s="126"/>
    </row>
    <row r="28" spans="4:38" ht="15" customHeight="1">
      <c r="D28" s="39"/>
      <c r="E28" s="39"/>
      <c r="F28" s="39"/>
      <c r="G28" s="39"/>
      <c r="H28" s="39"/>
      <c r="I28" s="3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4"/>
      <c r="Z28" s="64"/>
      <c r="AA28" s="64"/>
      <c r="AB28" s="64"/>
      <c r="AC28" s="64"/>
      <c r="AD28" s="41"/>
      <c r="AE28" s="39"/>
      <c r="AF28" s="114" t="str">
        <f>Data!$A$47&amp;" "&amp;INDEX(OUTPUT4,AL28,1)</f>
        <v>PL07 10 5/5</v>
      </c>
      <c r="AG28" s="81">
        <f>IF(ROUNDUP($B$43/INDEX(OUTPUT4,AL28,7)*VLOOKUP($B$39,ProHeights1,2),1)*1000&lt;=Data!$B$65,Data!$B$65,IF(ROUNDUP($B$43/INDEX(OUTPUT4,AL28,7)*VLOOKUP($B$39,ProHeights1,2),1)*1000&lt;=Data!$B$66,ROUNDUP($B$43/INDEX(OUTPUT4,AL28,7)*VLOOKUP($B$39,ProHeights1,2),1)*1000,""))</f>
        <v>1700.0000000000002</v>
      </c>
      <c r="AH28" s="151">
        <f>IF($AG28="","",ROUND(($AG28/1000)*INDEX(OUTPUT4,AL28,7),0))</f>
        <v>1023</v>
      </c>
      <c r="AI28" s="88">
        <f>$AI$4</f>
        <v>1200</v>
      </c>
      <c r="AJ28" s="126">
        <f>IF($AI28="","",ROUND(($AI28/1000)*INDEX(OUTPUT4,AL28,7)*VLOOKUP($B$39,ProHeights1,2),0))</f>
        <v>722</v>
      </c>
      <c r="AL28" s="1">
        <v>14</v>
      </c>
    </row>
    <row r="29" spans="4:36" ht="3" customHeight="1"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114"/>
      <c r="AG29" s="81"/>
      <c r="AH29" s="151"/>
      <c r="AI29" s="88"/>
      <c r="AJ29" s="126"/>
    </row>
    <row r="30" spans="4:38" ht="15" customHeight="1">
      <c r="D30" s="39"/>
      <c r="E30" s="39"/>
      <c r="F30" s="39"/>
      <c r="G30" s="39"/>
      <c r="H30" s="39"/>
      <c r="I30" s="64"/>
      <c r="J30" s="64"/>
      <c r="K30" s="64"/>
      <c r="L30" s="64"/>
      <c r="M30" s="64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4"/>
      <c r="Z30" s="64"/>
      <c r="AA30" s="64"/>
      <c r="AB30" s="64"/>
      <c r="AC30" s="64"/>
      <c r="AD30" s="64"/>
      <c r="AE30" s="39"/>
      <c r="AF30" s="114" t="str">
        <f>Data!$A$47&amp;" "&amp;INDEX(OUTPUT4,AL30,1)</f>
        <v>PL07 11 6/5</v>
      </c>
      <c r="AG30" s="81">
        <f>IF(ROUNDUP($B$43/INDEX(OUTPUT4,AL30,7)*VLOOKUP($B$39,ProHeights1,2),1)*1000&lt;=Data!$B$65,Data!$B$65,IF(ROUNDUP($B$43/INDEX(OUTPUT4,AL30,7)*VLOOKUP($B$39,ProHeights1,2),1)*1000&lt;=Data!$B$66,ROUNDUP($B$43/INDEX(OUTPUT4,AL30,7)*VLOOKUP($B$39,ProHeights1,2),1)*1000,""))</f>
        <v>1600</v>
      </c>
      <c r="AH30" s="151">
        <f>IF($AG30="","",ROUND(($AG30/1000)*INDEX(OUTPUT4,AL30,7),0))</f>
        <v>1024</v>
      </c>
      <c r="AI30" s="88">
        <f>$AI$4</f>
        <v>1200</v>
      </c>
      <c r="AJ30" s="126">
        <f>IF($AI30="","",ROUND(($AI30/1000)*INDEX(OUTPUT4,AL30,7)*VLOOKUP($B$39,ProHeights1,2),0))</f>
        <v>768</v>
      </c>
      <c r="AL30" s="1">
        <v>15</v>
      </c>
    </row>
    <row r="31" spans="4:36" ht="3" customHeight="1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114"/>
      <c r="AG31" s="81"/>
      <c r="AH31" s="151"/>
      <c r="AI31" s="88"/>
      <c r="AJ31" s="126"/>
    </row>
    <row r="32" spans="4:38" ht="15" customHeight="1">
      <c r="D32" s="39"/>
      <c r="E32" s="39"/>
      <c r="F32" s="66"/>
      <c r="G32" s="64"/>
      <c r="H32" s="67"/>
      <c r="I32" s="39"/>
      <c r="J32" s="64"/>
      <c r="K32" s="64"/>
      <c r="L32" s="65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4"/>
      <c r="Z32" s="64"/>
      <c r="AA32" s="64"/>
      <c r="AB32" s="64"/>
      <c r="AC32" s="64"/>
      <c r="AD32" s="64"/>
      <c r="AE32" s="41"/>
      <c r="AF32" s="114" t="str">
        <f>Data!$A$47&amp;" "&amp;INDEX(OUTPUT4,AL32,1)</f>
        <v>PL07 12 6/6</v>
      </c>
      <c r="AG32" s="81">
        <f>IF(ROUNDUP($B$43/INDEX(OUTPUT4,AL32,7)*VLOOKUP($B$39,ProHeights1,2),1)*1000&lt;=Data!$B$65,Data!$B$65,IF(ROUNDUP($B$43/INDEX(OUTPUT4,AL32,7)*VLOOKUP($B$39,ProHeights1,2),1)*1000&lt;=Data!$B$66,ROUNDUP($B$43/INDEX(OUTPUT4,AL32,7)*VLOOKUP($B$39,ProHeights1,2),1)*1000,""))</f>
        <v>1500</v>
      </c>
      <c r="AH32" s="151">
        <f>IF($AG32="","",ROUND(($AG32/1000)*INDEX(OUTPUT4,AL32,7),0))</f>
        <v>1014</v>
      </c>
      <c r="AI32" s="88">
        <f>$AI$4</f>
        <v>1200</v>
      </c>
      <c r="AJ32" s="126">
        <f>IF($AI32="","",ROUND(($AI32/1000)*INDEX(OUTPUT4,AL32,7)*VLOOKUP($B$39,ProHeights1,2),0))</f>
        <v>811</v>
      </c>
      <c r="AL32" s="1">
        <v>16</v>
      </c>
    </row>
    <row r="33" spans="4:36" ht="3" customHeight="1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114"/>
      <c r="AG33" s="81"/>
      <c r="AH33" s="151"/>
      <c r="AI33" s="88"/>
      <c r="AJ33" s="126"/>
    </row>
    <row r="34" spans="4:38" ht="15" customHeight="1">
      <c r="D34" s="39"/>
      <c r="E34" s="39"/>
      <c r="F34" s="64"/>
      <c r="G34" s="64"/>
      <c r="H34" s="67"/>
      <c r="I34" s="39"/>
      <c r="J34" s="64"/>
      <c r="K34" s="65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4"/>
      <c r="Z34" s="64"/>
      <c r="AA34" s="64"/>
      <c r="AB34" s="64"/>
      <c r="AC34" s="64"/>
      <c r="AD34" s="64"/>
      <c r="AE34" s="64"/>
      <c r="AF34" s="114" t="str">
        <f>Data!$A$47&amp;" "&amp;INDEX(OUTPUT4,AL34,1)</f>
        <v>PL07 13 7/6</v>
      </c>
      <c r="AG34" s="81">
        <f>IF(ROUNDUP($B$43/INDEX(OUTPUT4,AL34,7)*VLOOKUP($B$39,ProHeights1,2),1)*1000&lt;=Data!$B$65,Data!$B$65,IF(ROUNDUP($B$43/INDEX(OUTPUT4,AL34,7)*VLOOKUP($B$39,ProHeights1,2),1)*1000&lt;=Data!$B$66,ROUNDUP($B$43/INDEX(OUTPUT4,AL34,7)*VLOOKUP($B$39,ProHeights1,2),1)*1000,""))</f>
        <v>1500</v>
      </c>
      <c r="AH34" s="151">
        <f>IF($AG34="","",ROUND(($AG34/1000)*INDEX(OUTPUT4,AL34,7),0))</f>
        <v>1065</v>
      </c>
      <c r="AI34" s="88">
        <f>$AI$4</f>
        <v>1200</v>
      </c>
      <c r="AJ34" s="126">
        <f>IF($AI34="","",ROUND(($AI34/1000)*INDEX(OUTPUT4,AL34,7)*VLOOKUP($B$39,ProHeights1,2),0))</f>
        <v>852</v>
      </c>
      <c r="AL34" s="1">
        <v>17</v>
      </c>
    </row>
    <row r="35" spans="4:36" ht="3" customHeight="1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114"/>
      <c r="AG35" s="81"/>
      <c r="AH35" s="151"/>
      <c r="AI35" s="88"/>
      <c r="AJ35" s="126"/>
    </row>
    <row r="36" spans="4:38" ht="15" customHeight="1" thickBot="1">
      <c r="D36" s="64"/>
      <c r="E36" s="64"/>
      <c r="F36" s="64"/>
      <c r="G36" s="64"/>
      <c r="H36" s="67"/>
      <c r="I36" s="39"/>
      <c r="J36" s="64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4"/>
      <c r="Z36" s="64"/>
      <c r="AA36" s="64"/>
      <c r="AB36" s="64"/>
      <c r="AC36" s="64"/>
      <c r="AD36" s="64"/>
      <c r="AE36" s="64"/>
      <c r="AF36" s="115" t="str">
        <f>Data!$A$47&amp;" "&amp;INDEX(OUTPUT4,AL36,1)</f>
        <v>PL07 14 7/7</v>
      </c>
      <c r="AG36" s="83">
        <f>IF(ROUNDUP($B$43/INDEX(OUTPUT4,AL36,7)*VLOOKUP($B$39,ProHeights1,2),1)*1000&lt;=Data!$B$65,Data!$B$65,IF(ROUNDUP($B$43/INDEX(OUTPUT4,AL36,7)*VLOOKUP($B$39,ProHeights1,2),1)*1000&lt;=Data!$B$66,ROUNDUP($B$43/INDEX(OUTPUT4,AL36,7)*VLOOKUP($B$39,ProHeights1,2),1)*1000,""))</f>
        <v>1400.0000000000002</v>
      </c>
      <c r="AH36" s="152">
        <f>IF($AG36="","",ROUND(($AG36/1000)*INDEX(OUTPUT4,AL36,7),0))</f>
        <v>1040</v>
      </c>
      <c r="AI36" s="90">
        <f>$AI$4</f>
        <v>1200</v>
      </c>
      <c r="AJ36" s="133">
        <f>IF($AI36="","",ROUND(($AI36/1000)*INDEX(OUTPUT4,AL36,7)*VLOOKUP($B$39,ProHeights1,2),0))</f>
        <v>892</v>
      </c>
      <c r="AL36" s="1">
        <v>18</v>
      </c>
    </row>
    <row r="37" spans="4:34" ht="3" customHeight="1" thickBot="1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4"/>
      <c r="AG37" s="41"/>
      <c r="AH37" s="41"/>
    </row>
    <row r="38" spans="4:36" ht="3" customHeight="1" thickBot="1">
      <c r="D38" s="63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3"/>
      <c r="AG38" s="40"/>
      <c r="AH38" s="40"/>
      <c r="AI38" s="14"/>
      <c r="AJ38" s="57"/>
    </row>
    <row r="39" spans="1:36" ht="14.25">
      <c r="A39" s="209" t="str">
        <f>Data!$I$287&amp;" "&amp;Data!$E$287&amp;":"</f>
        <v>WÄHLEN SIE BAUHÖHE MM:</v>
      </c>
      <c r="B39" s="185">
        <v>100</v>
      </c>
      <c r="D39" s="44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60"/>
      <c r="AF39" s="33" t="str">
        <f>Data!M287</f>
        <v>WASSERFÜHRENDEN ROHR</v>
      </c>
      <c r="AG39" s="41"/>
      <c r="AH39" s="41"/>
      <c r="AI39" s="15"/>
      <c r="AJ39" s="55"/>
    </row>
    <row r="40" spans="1:36" ht="3" customHeight="1">
      <c r="A40" s="209"/>
      <c r="B40" s="186"/>
      <c r="D40" s="44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34"/>
      <c r="AG40" s="41"/>
      <c r="AH40" s="41"/>
      <c r="AI40" s="15"/>
      <c r="AJ40" s="55"/>
    </row>
    <row r="41" spans="1:36" ht="15" thickBot="1">
      <c r="A41" s="209"/>
      <c r="B41" s="187"/>
      <c r="D41" s="44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64"/>
      <c r="AF41" s="33" t="str">
        <f>Data!$R$287</f>
        <v>SEITENROST</v>
      </c>
      <c r="AG41" s="41"/>
      <c r="AH41" s="41"/>
      <c r="AI41" s="15"/>
      <c r="AJ41" s="55"/>
    </row>
    <row r="42" spans="4:36" ht="3" customHeight="1" thickBot="1">
      <c r="D42" s="44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34"/>
      <c r="AG42" s="41"/>
      <c r="AH42" s="41"/>
      <c r="AI42" s="15"/>
      <c r="AJ42" s="55"/>
    </row>
    <row r="43" spans="1:37" ht="15" customHeight="1">
      <c r="A43" s="194" t="str">
        <f>Data!I287&amp;" "&amp;Data!C287&amp;":"</f>
        <v>WÄHLEN SIE LEISTUNG, WATT:</v>
      </c>
      <c r="B43" s="195">
        <v>1000</v>
      </c>
      <c r="D43" s="44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198" t="str">
        <f>Data!$S$287</f>
        <v>BITTE BEACHTEN SIE LÄNGE PRO EINHEIT. MEHRERE EINHEITEN KÖNNEN IN SERIE MONTIERT WERDEN</v>
      </c>
      <c r="AG43" s="198"/>
      <c r="AH43" s="198"/>
      <c r="AI43" s="198"/>
      <c r="AJ43" s="199"/>
      <c r="AK43" s="47"/>
    </row>
    <row r="44" spans="1:37" ht="3" customHeight="1">
      <c r="A44" s="194"/>
      <c r="B44" s="196"/>
      <c r="D44" s="44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198"/>
      <c r="AG44" s="198"/>
      <c r="AH44" s="198"/>
      <c r="AI44" s="198"/>
      <c r="AJ44" s="199"/>
      <c r="AK44" s="47"/>
    </row>
    <row r="45" spans="1:36" ht="15" customHeight="1" thickBot="1">
      <c r="A45" s="194"/>
      <c r="B45" s="197"/>
      <c r="D45" s="4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198"/>
      <c r="AG45" s="198"/>
      <c r="AH45" s="198"/>
      <c r="AI45" s="198"/>
      <c r="AJ45" s="199"/>
    </row>
    <row r="46" spans="4:36" ht="3" customHeight="1" thickBot="1">
      <c r="D46" s="44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74"/>
      <c r="AG46" s="74"/>
      <c r="AH46" s="74"/>
      <c r="AI46" s="74"/>
      <c r="AJ46" s="76"/>
    </row>
    <row r="47" spans="1:36" ht="14.25" customHeight="1">
      <c r="A47" s="194" t="str">
        <f>Data!$X$287&amp;" "&amp;Data!$F$287&amp;":"</f>
        <v>ODER BAULÄNGE MM:</v>
      </c>
      <c r="B47" s="191">
        <v>1200</v>
      </c>
      <c r="D47" s="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98" t="str">
        <f>Data!Y$287&amp;" "&amp;Data!$F$287&amp;": "&amp;Data!$B$65&amp;", "&amp;Data!$Z$287&amp;" "&amp;Data!$F$287&amp;": "&amp;Data!$B$66&amp;". "&amp;Data!$AA$287</f>
        <v>MIN. BAULÄNGE MM: 400, MAX. BAULÄNGE MM: 6000. BITTE KONTAKTIEREN SIE MEINERTZ FÜR SONDERGRÖSSEN ODER SONDERAUSFÜHRUNGEN.</v>
      </c>
      <c r="AG47" s="198"/>
      <c r="AH47" s="198"/>
      <c r="AI47" s="198"/>
      <c r="AJ47" s="199"/>
    </row>
    <row r="48" spans="1:36" ht="3" customHeight="1">
      <c r="A48" s="194"/>
      <c r="B48" s="192"/>
      <c r="D48" s="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98"/>
      <c r="AG48" s="198"/>
      <c r="AH48" s="198"/>
      <c r="AI48" s="198"/>
      <c r="AJ48" s="199"/>
    </row>
    <row r="49" spans="1:36" ht="15.75" customHeight="1" thickBot="1">
      <c r="A49" s="194"/>
      <c r="B49" s="193"/>
      <c r="D49" s="13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200"/>
      <c r="AG49" s="200"/>
      <c r="AH49" s="200"/>
      <c r="AI49" s="200"/>
      <c r="AJ49" s="201"/>
    </row>
    <row r="50" spans="32:36" ht="14.25">
      <c r="AF50" s="72"/>
      <c r="AG50" s="72"/>
      <c r="AH50" s="72"/>
      <c r="AI50" s="72"/>
      <c r="AJ50" s="72"/>
    </row>
  </sheetData>
  <sheetProtection password="CF4F" sheet="1" selectLockedCells="1"/>
  <mergeCells count="9">
    <mergeCell ref="AF2:AJ2"/>
    <mergeCell ref="AF43:AJ45"/>
    <mergeCell ref="B47:B49"/>
    <mergeCell ref="B39:B41"/>
    <mergeCell ref="A39:A41"/>
    <mergeCell ref="AF47:AJ49"/>
    <mergeCell ref="A43:A45"/>
    <mergeCell ref="B43:B45"/>
    <mergeCell ref="A47:A49"/>
  </mergeCells>
  <conditionalFormatting sqref="B4 B6 B8">
    <cfRule type="expression" priority="2" dxfId="0" stopIfTrue="1">
      <formula>$B$4&lt;$B$6+10</formula>
    </cfRule>
  </conditionalFormatting>
  <dataValidations count="4">
    <dataValidation type="list" allowBlank="1" showInputMessage="1" showErrorMessage="1" sqref="B4">
      <formula1>TEMPSETFINNED1</formula1>
    </dataValidation>
    <dataValidation type="list" allowBlank="1" showInputMessage="1" showErrorMessage="1" sqref="B6">
      <formula1>TEMPSETFINNED2</formula1>
    </dataValidation>
    <dataValidation type="list" allowBlank="1" showInputMessage="1" showErrorMessage="1" sqref="B8">
      <formula1>TEMPSETFINNED3</formula1>
    </dataValidation>
    <dataValidation type="list" allowBlank="1" showInputMessage="1" showErrorMessage="1" sqref="B39:B41">
      <formula1>ProHeights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37"/>
  <sheetViews>
    <sheetView showGridLines="0" zoomScalePageLayoutView="0" workbookViewId="0" topLeftCell="A1">
      <selection activeCell="B30" sqref="B30:B32"/>
    </sheetView>
  </sheetViews>
  <sheetFormatPr defaultColWidth="9.140625" defaultRowHeight="15"/>
  <cols>
    <col min="1" max="1" width="24.28125" style="1" customWidth="1"/>
    <col min="2" max="2" width="9.28125" style="1" customWidth="1"/>
    <col min="3" max="3" width="2.8515625" style="1" customWidth="1"/>
    <col min="4" max="17" width="1.57421875" style="1" customWidth="1"/>
    <col min="18" max="18" width="18.57421875" style="1" customWidth="1"/>
    <col min="19" max="19" width="9.28125" style="1" customWidth="1"/>
    <col min="20" max="20" width="18.57421875" style="1" customWidth="1"/>
    <col min="21" max="21" width="9.28125" style="1" customWidth="1"/>
    <col min="22" max="22" width="18.57421875" style="1" customWidth="1"/>
    <col min="23" max="23" width="9.28125" style="1" customWidth="1"/>
    <col min="24" max="24" width="18.57421875" style="1" customWidth="1"/>
    <col min="25" max="25" width="9.28125" style="1" customWidth="1"/>
    <col min="26" max="26" width="9.140625" style="1" customWidth="1"/>
    <col min="27" max="27" width="0" style="15" hidden="1" customWidth="1"/>
    <col min="28" max="16384" width="9.140625" style="1" customWidth="1"/>
  </cols>
  <sheetData>
    <row r="1" ht="15" thickBot="1"/>
    <row r="2" spans="18:25" ht="26.25" thickBot="1">
      <c r="R2" s="211" t="str">
        <f>Data!D287&amp;":"</f>
        <v>OPTIONEN:</v>
      </c>
      <c r="S2" s="212"/>
      <c r="T2" s="212"/>
      <c r="U2" s="212"/>
      <c r="V2" s="189"/>
      <c r="W2" s="189"/>
      <c r="X2" s="189"/>
      <c r="Y2" s="190"/>
    </row>
    <row r="3" spans="4:25" ht="15" customHeight="1" thickBot="1"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213" t="str">
        <f>Data!G287&amp;" "&amp;Data!A86&amp;" &amp; "&amp;Data!V287</f>
        <v> TYP SKYLINE &amp; PLINT</v>
      </c>
      <c r="S3" s="214"/>
      <c r="T3" s="214"/>
      <c r="U3" s="215"/>
      <c r="V3" s="213" t="str">
        <f>Data!G287&amp;" "&amp;Data!A69</f>
        <v> TYP L-LINE</v>
      </c>
      <c r="W3" s="214"/>
      <c r="X3" s="214"/>
      <c r="Y3" s="215"/>
    </row>
    <row r="4" spans="4:25" ht="15" customHeight="1" thickBot="1"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45" t="str">
        <f>Data!$F$287</f>
        <v>BAULÄNGE MM</v>
      </c>
      <c r="S4" s="111" t="str">
        <f>Data!$H$287</f>
        <v>WATT</v>
      </c>
      <c r="T4" s="137" t="str">
        <f>Data!$F$287</f>
        <v>BAULÄNGE MM</v>
      </c>
      <c r="U4" s="84" t="str">
        <f>Data!$H$287</f>
        <v>WATT</v>
      </c>
      <c r="V4" s="145" t="str">
        <f>Data!$F$287</f>
        <v>BAULÄNGE MM</v>
      </c>
      <c r="W4" s="111" t="str">
        <f>Data!$H$287</f>
        <v>WATT</v>
      </c>
      <c r="X4" s="144" t="str">
        <f>Data!$F$287</f>
        <v>BAULÄNGE MM</v>
      </c>
      <c r="Y4" s="124" t="str">
        <f>Data!$H$287</f>
        <v>WATT</v>
      </c>
    </row>
    <row r="5" spans="1:27" ht="15" customHeight="1" thickBot="1">
      <c r="A5" s="1" t="str">
        <f>Data!J287&amp;":"</f>
        <v>VORLAUF:</v>
      </c>
      <c r="B5" s="93">
        <v>75</v>
      </c>
      <c r="C5" s="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60"/>
      <c r="P5" s="60"/>
      <c r="Q5" s="60"/>
      <c r="R5" s="146">
        <f>IF(ROUNDUP($B$30/INDEX(OUTPUT6,AA5,7),1)*1000&lt;=Data!$B$101,Data!$B$101,IF(ROUNDUP($B$30/INDEX(OUTPUT6,AA5,7),1)*1000&lt;=Data!$B$102,ROUNDUP($B$30/INDEX(OUTPUT6,AA5,7),1)*1000,""))</f>
        <v>3800.0000000000005</v>
      </c>
      <c r="S5" s="79">
        <f>IF(R5="","",ROUND((R5/1000)*INDEX(OUTPUT6,AA5,7),0))</f>
        <v>1003</v>
      </c>
      <c r="T5" s="138">
        <f>IF(AND($B$34&gt;=Data!$B$101,$B$34&lt;=Data!$B$102),$B$34,"")</f>
        <v>1200</v>
      </c>
      <c r="U5" s="139">
        <f>IF(T5="","",ROUND((T5/1000)*INDEX(OUTPUT6,AA5,7),0))</f>
        <v>317</v>
      </c>
      <c r="V5" s="146">
        <f>IF(ROUNDUP($B$30/INDEX(OUTPUT5,AA5,7),1)*1000&lt;=Data!$B$101,Data!$B$101,IF(ROUNDUP($B$30/INDEX(OUTPUT5,AA5,7),1)*1000&lt;=Data!$B$102,ROUNDUP($B$30/INDEX(OUTPUT5,AA5,7),1)*1000,""))</f>
        <v>4199.999999999999</v>
      </c>
      <c r="W5" s="150">
        <f>IF(V5="","",ROUND((V5/1000)*INDEX(OUTPUT5,AA5,7),0))</f>
        <v>1021</v>
      </c>
      <c r="X5" s="86">
        <f>IF(AND($B$34&gt;=Data!$B$83,$B$34&lt;=Data!$B$84),$B$34,"")</f>
        <v>1200</v>
      </c>
      <c r="Y5" s="139">
        <f>IF(X5="","",ROUND((X5/1000)*INDEX(OUTPUT5,AA5,7),0))</f>
        <v>292</v>
      </c>
      <c r="AA5" s="15">
        <v>2</v>
      </c>
    </row>
    <row r="6" spans="2:25" ht="3" customHeight="1">
      <c r="B6" s="3"/>
      <c r="C6" s="3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147"/>
      <c r="S6" s="81"/>
      <c r="T6" s="140"/>
      <c r="U6" s="141"/>
      <c r="V6" s="147"/>
      <c r="W6" s="151"/>
      <c r="X6" s="125"/>
      <c r="Y6" s="126"/>
    </row>
    <row r="7" spans="1:27" ht="15" customHeight="1" thickBot="1">
      <c r="A7" s="1" t="str">
        <f>Data!K287&amp;":"</f>
        <v>RÜCKLAUF:</v>
      </c>
      <c r="B7" s="94">
        <v>65</v>
      </c>
      <c r="C7" s="3"/>
      <c r="D7" s="39"/>
      <c r="E7" s="39"/>
      <c r="F7" s="39"/>
      <c r="G7" s="39"/>
      <c r="H7" s="39"/>
      <c r="I7" s="39"/>
      <c r="J7" s="39"/>
      <c r="K7" s="39"/>
      <c r="L7" s="39"/>
      <c r="M7" s="39"/>
      <c r="N7" s="60"/>
      <c r="O7" s="60"/>
      <c r="P7" s="60"/>
      <c r="Q7" s="60"/>
      <c r="R7" s="148">
        <f>IF(ROUNDUP($B$30/INDEX(OUTPUT6,AA7,7),1)*1000&lt;=Data!$B$101,Data!$B$101,IF(ROUNDUP($B$30/INDEX(OUTPUT6,AA7,7),1)*1000&lt;=Data!$B$102,ROUNDUP($B$30/INDEX(OUTPUT6,AA7,7),1)*1000,""))</f>
        <v>2900</v>
      </c>
      <c r="S7" s="81">
        <f>IF(R7="","",ROUND((R7/1000)*INDEX(OUTPUT6,AA7,7),0))</f>
        <v>1032</v>
      </c>
      <c r="T7" s="140">
        <f>$T$5</f>
        <v>1200</v>
      </c>
      <c r="U7" s="141">
        <f>IF(T7="","",ROUND((T7/1000)*INDEX(OUTPUT6,AA7,7),0))</f>
        <v>427</v>
      </c>
      <c r="V7" s="148">
        <f>IF(ROUNDUP($B$30/INDEX(OUTPUT5,AA7,7),1)*1000&lt;=Data!$B$101,Data!$B$101,IF(ROUNDUP($B$30/INDEX(OUTPUT5,AA7,7),1)*1000&lt;=Data!$B$102,ROUNDUP($B$30/INDEX(OUTPUT5,AA7,7),1)*1000,""))</f>
        <v>3100</v>
      </c>
      <c r="W7" s="151">
        <f>IF(V7="","",ROUND((V7/1000)*INDEX(OUTPUT5,AA7,7),0))</f>
        <v>1017</v>
      </c>
      <c r="X7" s="88">
        <f>$X$5</f>
        <v>1200</v>
      </c>
      <c r="Y7" s="141">
        <f>IF(X7="","",ROUND((X7/1000)*INDEX(OUTPUT5,AA7,7),0))</f>
        <v>394</v>
      </c>
      <c r="AA7" s="15">
        <v>3</v>
      </c>
    </row>
    <row r="8" spans="3:25" ht="3" customHeight="1" thickBot="1">
      <c r="C8" s="2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47"/>
      <c r="S8" s="81"/>
      <c r="T8" s="140"/>
      <c r="U8" s="141"/>
      <c r="V8" s="147"/>
      <c r="W8" s="151"/>
      <c r="X8" s="125"/>
      <c r="Y8" s="126"/>
    </row>
    <row r="9" spans="1:27" ht="15" customHeight="1" thickBot="1">
      <c r="A9" s="1" t="str">
        <f>Data!L287&amp;":"</f>
        <v>ZIMMER:</v>
      </c>
      <c r="B9" s="93">
        <v>25</v>
      </c>
      <c r="C9" s="3"/>
      <c r="D9" s="39"/>
      <c r="E9" s="39"/>
      <c r="F9" s="39"/>
      <c r="G9" s="39"/>
      <c r="H9" s="39"/>
      <c r="I9" s="39"/>
      <c r="J9" s="39"/>
      <c r="K9" s="39"/>
      <c r="L9" s="39"/>
      <c r="M9" s="60"/>
      <c r="N9" s="60"/>
      <c r="O9" s="60"/>
      <c r="P9" s="60"/>
      <c r="Q9" s="60"/>
      <c r="R9" s="148">
        <f>IF(ROUNDUP($B$30/INDEX(OUTPUT6,AA9,7),1)*1000&lt;=Data!$B$101,Data!$B$101,IF(ROUNDUP($B$30/INDEX(OUTPUT6,AA9,7),1)*1000&lt;=Data!$B$102,ROUNDUP($B$30/INDEX(OUTPUT6,AA9,7),1)*1000,""))</f>
        <v>2300.0000000000005</v>
      </c>
      <c r="S9" s="81">
        <f>IF(R9="","",ROUND((R9/1000)*INDEX(OUTPUT6,AA9,7),0))</f>
        <v>1024</v>
      </c>
      <c r="T9" s="140">
        <f>$T$5</f>
        <v>1200</v>
      </c>
      <c r="U9" s="141">
        <f>IF(T9="","",ROUND((T9/1000)*INDEX(OUTPUT6,AA9,7),0))</f>
        <v>534</v>
      </c>
      <c r="V9" s="148">
        <f>IF(ROUNDUP($B$30/INDEX(OUTPUT5,AA9,7),1)*1000&lt;=Data!$B$101,Data!$B$101,IF(ROUNDUP($B$30/INDEX(OUTPUT5,AA9,7),1)*1000&lt;=Data!$B$102,ROUNDUP($B$30/INDEX(OUTPUT5,AA9,7),1)*1000,""))</f>
        <v>2500</v>
      </c>
      <c r="W9" s="151">
        <f>IF(V9="","",ROUND((V9/1000)*INDEX(OUTPUT5,AA9,7),0))</f>
        <v>1023</v>
      </c>
      <c r="X9" s="88">
        <f>$X$5</f>
        <v>1200</v>
      </c>
      <c r="Y9" s="141">
        <f>IF(X9="","",ROUND((X9/1000)*INDEX(OUTPUT5,AA9,7),0))</f>
        <v>491</v>
      </c>
      <c r="AA9" s="15">
        <v>4</v>
      </c>
    </row>
    <row r="10" spans="2:25" ht="3" customHeight="1">
      <c r="B10" s="7"/>
      <c r="C10" s="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147"/>
      <c r="S10" s="81"/>
      <c r="T10" s="140"/>
      <c r="U10" s="141"/>
      <c r="V10" s="147"/>
      <c r="W10" s="151"/>
      <c r="X10" s="125"/>
      <c r="Y10" s="126"/>
    </row>
    <row r="11" spans="4:27" ht="14.25">
      <c r="D11" s="39"/>
      <c r="E11" s="39"/>
      <c r="F11" s="39"/>
      <c r="G11" s="39"/>
      <c r="H11" s="39"/>
      <c r="I11" s="39"/>
      <c r="J11" s="39"/>
      <c r="K11" s="39"/>
      <c r="L11" s="60"/>
      <c r="M11" s="60"/>
      <c r="N11" s="60"/>
      <c r="O11" s="60"/>
      <c r="P11" s="60"/>
      <c r="Q11" s="60"/>
      <c r="R11" s="148">
        <f>IF(ROUNDUP($B$30/INDEX(OUTPUT6,AA11,7),1)*1000&lt;=Data!$B$101,Data!$B$101,IF(ROUNDUP($B$30/INDEX(OUTPUT6,AA11,7),1)*1000&lt;=Data!$B$102,ROUNDUP($B$30/INDEX(OUTPUT6,AA11,7),1)*1000,""))</f>
        <v>1900.0000000000002</v>
      </c>
      <c r="S11" s="81">
        <f>IF(R11="","",ROUND((R11/1000)*INDEX(OUTPUT6,AA11,7),0))</f>
        <v>1015</v>
      </c>
      <c r="T11" s="140">
        <f>$T$5</f>
        <v>1200</v>
      </c>
      <c r="U11" s="141">
        <f>IF(T11="","",ROUND((T11/1000)*INDEX(OUTPUT6,AA11,7),0))</f>
        <v>641</v>
      </c>
      <c r="V11" s="148">
        <f>IF(ROUNDUP($B$30/INDEX(OUTPUT5,AA11,7),1)*1000&lt;=Data!$B$101,Data!$B$101,IF(ROUNDUP($B$30/INDEX(OUTPUT5,AA11,7),1)*1000&lt;=Data!$B$102,ROUNDUP($B$30/INDEX(OUTPUT5,AA11,7),1)*1000,""))</f>
        <v>2100</v>
      </c>
      <c r="W11" s="151">
        <f>IF(V11="","",ROUND((V11/1000)*INDEX(OUTPUT5,AA11,7),0))</f>
        <v>1031</v>
      </c>
      <c r="X11" s="88">
        <f>$X$5</f>
        <v>1200</v>
      </c>
      <c r="Y11" s="141">
        <f>IF(X11="","",ROUND((X11/1000)*INDEX(OUTPUT5,AA11,7),0))</f>
        <v>589</v>
      </c>
      <c r="AA11" s="15">
        <v>5</v>
      </c>
    </row>
    <row r="12" spans="4:25" ht="3" customHeight="1"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147"/>
      <c r="S12" s="81"/>
      <c r="T12" s="140"/>
      <c r="U12" s="141"/>
      <c r="V12" s="147"/>
      <c r="W12" s="151"/>
      <c r="X12" s="125"/>
      <c r="Y12" s="126"/>
    </row>
    <row r="13" spans="4:27" ht="14.25">
      <c r="D13" s="39"/>
      <c r="E13" s="39"/>
      <c r="F13" s="39"/>
      <c r="G13" s="39"/>
      <c r="H13" s="39"/>
      <c r="I13" s="39"/>
      <c r="J13" s="39"/>
      <c r="K13" s="60"/>
      <c r="L13" s="60"/>
      <c r="M13" s="60"/>
      <c r="N13" s="60"/>
      <c r="O13" s="60"/>
      <c r="P13" s="60"/>
      <c r="Q13" s="60"/>
      <c r="R13" s="148">
        <f>IF(ROUNDUP($B$30/INDEX(OUTPUT6,AA13,7),1)*1000&lt;=Data!$B$101,Data!$B$101,IF(ROUNDUP($B$30/INDEX(OUTPUT6,AA13,7),1)*1000&lt;=Data!$B$102,ROUNDUP($B$30/INDEX(OUTPUT6,AA13,7),1)*1000,""))</f>
        <v>1700.0000000000002</v>
      </c>
      <c r="S13" s="81">
        <f>IF(R13="","",ROUND((R13/1000)*INDEX(OUTPUT6,AA13,7),0))</f>
        <v>1059</v>
      </c>
      <c r="T13" s="140">
        <f>$T$5</f>
        <v>1200</v>
      </c>
      <c r="U13" s="141">
        <f>IF(T13="","",ROUND((T13/1000)*INDEX(OUTPUT6,AA13,7),0))</f>
        <v>748</v>
      </c>
      <c r="V13" s="148">
        <f>IF(ROUNDUP($B$30/INDEX(OUTPUT5,AA13,7),1)*1000&lt;=Data!$B$101,Data!$B$101,IF(ROUNDUP($B$30/INDEX(OUTPUT5,AA13,7),1)*1000&lt;=Data!$B$102,ROUNDUP($B$30/INDEX(OUTPUT5,AA13,7),1)*1000,""))</f>
        <v>1800</v>
      </c>
      <c r="W13" s="151">
        <f>IF(V13="","",ROUND((V13/1000)*INDEX(OUTPUT5,AA13,7),0))</f>
        <v>1031</v>
      </c>
      <c r="X13" s="88">
        <f>$X$5</f>
        <v>1200</v>
      </c>
      <c r="Y13" s="141">
        <f>IF(X13="","",ROUND((X13/1000)*INDEX(OUTPUT5,AA13,7),0))</f>
        <v>688</v>
      </c>
      <c r="AA13" s="15">
        <v>6</v>
      </c>
    </row>
    <row r="14" spans="4:25" ht="3" customHeight="1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147"/>
      <c r="S14" s="81"/>
      <c r="T14" s="140"/>
      <c r="U14" s="141"/>
      <c r="V14" s="147"/>
      <c r="W14" s="151"/>
      <c r="X14" s="125"/>
      <c r="Y14" s="126"/>
    </row>
    <row r="15" spans="4:27" ht="14.25">
      <c r="D15" s="39"/>
      <c r="E15" s="39"/>
      <c r="F15" s="39"/>
      <c r="G15" s="39"/>
      <c r="H15" s="39"/>
      <c r="I15" s="39"/>
      <c r="J15" s="60"/>
      <c r="K15" s="60"/>
      <c r="L15" s="60"/>
      <c r="M15" s="60"/>
      <c r="N15" s="60"/>
      <c r="O15" s="60"/>
      <c r="P15" s="60"/>
      <c r="Q15" s="60"/>
      <c r="R15" s="148">
        <f>IF(ROUNDUP($B$30/INDEX(OUTPUT6,AA15,7),1)*1000&lt;=Data!$B$101,Data!$B$101,IF(ROUNDUP($B$30/INDEX(OUTPUT6,AA15,7),1)*1000&lt;=Data!$B$102,ROUNDUP($B$30/INDEX(OUTPUT6,AA15,7),1)*1000,""))</f>
        <v>1500</v>
      </c>
      <c r="S15" s="81">
        <f>IF(R15="","",ROUND((R15/1000)*INDEX(OUTPUT6,AA15,7),0))</f>
        <v>1056</v>
      </c>
      <c r="T15" s="140">
        <f>$T$5</f>
        <v>1200</v>
      </c>
      <c r="U15" s="141">
        <f>IF(T15="","",ROUND((T15/1000)*INDEX(OUTPUT6,AA15,7),0))</f>
        <v>845</v>
      </c>
      <c r="V15" s="148">
        <f>IF(ROUNDUP($B$30/INDEX(OUTPUT5,AA15,7),1)*1000&lt;=Data!$B$101,Data!$B$101,IF(ROUNDUP($B$30/INDEX(OUTPUT5,AA15,7),1)*1000&lt;=Data!$B$102,ROUNDUP($B$30/INDEX(OUTPUT5,AA15,7),1)*1000,""))</f>
        <v>1600</v>
      </c>
      <c r="W15" s="151">
        <f>IF(V15="","",ROUND((V15/1000)*INDEX(OUTPUT5,AA15,7),0))</f>
        <v>1037</v>
      </c>
      <c r="X15" s="88">
        <f>$X$5</f>
        <v>1200</v>
      </c>
      <c r="Y15" s="141">
        <f>IF(X15="","",ROUND((X15/1000)*INDEX(OUTPUT5,AA15,7),0))</f>
        <v>778</v>
      </c>
      <c r="AA15" s="15">
        <v>7</v>
      </c>
    </row>
    <row r="16" spans="1:27" s="2" customFormat="1" ht="3" customHeight="1">
      <c r="A16" s="37"/>
      <c r="B16" s="35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147"/>
      <c r="S16" s="81"/>
      <c r="T16" s="140"/>
      <c r="U16" s="141"/>
      <c r="V16" s="147"/>
      <c r="W16" s="151"/>
      <c r="X16" s="125"/>
      <c r="Y16" s="126"/>
      <c r="AA16" s="25"/>
    </row>
    <row r="17" spans="4:27" ht="14.25">
      <c r="D17" s="39"/>
      <c r="E17" s="39"/>
      <c r="F17" s="39"/>
      <c r="G17" s="39"/>
      <c r="H17" s="39"/>
      <c r="I17" s="60"/>
      <c r="J17" s="60"/>
      <c r="K17" s="60"/>
      <c r="L17" s="60"/>
      <c r="M17" s="60"/>
      <c r="N17" s="60"/>
      <c r="O17" s="60"/>
      <c r="P17" s="60"/>
      <c r="Q17" s="60"/>
      <c r="R17" s="148">
        <f>IF(ROUNDUP($B$30/INDEX(OUTPUT6,AA17,7),1)*1000&lt;=Data!$B$101,Data!$B$101,IF(ROUNDUP($B$30/INDEX(OUTPUT6,AA17,7),1)*1000&lt;=Data!$B$102,ROUNDUP($B$30/INDEX(OUTPUT6,AA17,7),1)*1000,""))</f>
        <v>1300</v>
      </c>
      <c r="S17" s="81">
        <f>IF(R17="","",ROUND((R17/1000)*INDEX(OUTPUT6,AA17,7),0))</f>
        <v>1030</v>
      </c>
      <c r="T17" s="140">
        <f>$T$5</f>
        <v>1200</v>
      </c>
      <c r="U17" s="141">
        <f>IF(T17="","",ROUND((T17/1000)*INDEX(OUTPUT6,AA17,7),0))</f>
        <v>950</v>
      </c>
      <c r="V17" s="148">
        <f>IF(ROUNDUP($B$30/INDEX(OUTPUT5,AA17,7),1)*1000&lt;=Data!$B$101,Data!$B$101,IF(ROUNDUP($B$30/INDEX(OUTPUT5,AA17,7),1)*1000&lt;=Data!$B$102,ROUNDUP($B$30/INDEX(OUTPUT5,AA17,7),1)*1000,""))</f>
        <v>1400.0000000000002</v>
      </c>
      <c r="W17" s="151">
        <f>IF(V17="","",ROUND((V17/1000)*INDEX(OUTPUT5,AA17,7),0))</f>
        <v>1021</v>
      </c>
      <c r="X17" s="88">
        <f>$X$5</f>
        <v>1200</v>
      </c>
      <c r="Y17" s="141">
        <f>IF(X17="","",ROUND((X17/1000)*INDEX(OUTPUT5,AA17,7),0))</f>
        <v>875</v>
      </c>
      <c r="AA17" s="15">
        <v>8</v>
      </c>
    </row>
    <row r="18" spans="1:27" s="2" customFormat="1" ht="3" customHeight="1">
      <c r="A18" s="37"/>
      <c r="B18" s="35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147"/>
      <c r="S18" s="81"/>
      <c r="T18" s="140"/>
      <c r="U18" s="141"/>
      <c r="V18" s="147"/>
      <c r="W18" s="151"/>
      <c r="X18" s="125"/>
      <c r="Y18" s="126"/>
      <c r="AA18" s="25"/>
    </row>
    <row r="19" spans="4:27" ht="14.25">
      <c r="D19" s="39"/>
      <c r="E19" s="39"/>
      <c r="F19" s="39"/>
      <c r="G19" s="3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148">
        <f>IF(ROUNDUP($B$30/INDEX(OUTPUT6,AA19,7),1)*1000&lt;=Data!$B$101,Data!$B$101,IF(ROUNDUP($B$30/INDEX(OUTPUT6,AA19,7),1)*1000&lt;=Data!$B$102,ROUNDUP($B$30/INDEX(OUTPUT6,AA19,7),1)*1000,""))</f>
        <v>1200.0000000000002</v>
      </c>
      <c r="S19" s="81">
        <f>IF(R19="","",ROUND((R19/1000)*INDEX(OUTPUT6,AA19,7),0))</f>
        <v>1056</v>
      </c>
      <c r="T19" s="140">
        <f>$T$5</f>
        <v>1200</v>
      </c>
      <c r="U19" s="141">
        <f>IF(T19="","",ROUND((T19/1000)*INDEX(OUTPUT6,AA19,7),0))</f>
        <v>1056</v>
      </c>
      <c r="V19" s="148">
        <f>IF(ROUNDUP($B$30/INDEX(OUTPUT5,AA19,7),1)*1000&lt;=Data!$B$101,Data!$B$101,IF(ROUNDUP($B$30/INDEX(OUTPUT5,AA19,7),1)*1000&lt;=Data!$B$102,ROUNDUP($B$30/INDEX(OUTPUT5,AA19,7),1)*1000,""))</f>
        <v>1300</v>
      </c>
      <c r="W19" s="151">
        <f>IF(V19="","",ROUND((V19/1000)*INDEX(OUTPUT5,AA19,7),0))</f>
        <v>1053</v>
      </c>
      <c r="X19" s="88">
        <f>$X$5</f>
        <v>1200</v>
      </c>
      <c r="Y19" s="141">
        <f>IF(X19="","",ROUND((X19/1000)*INDEX(OUTPUT5,AA19,7),0))</f>
        <v>972</v>
      </c>
      <c r="AA19" s="15">
        <v>9</v>
      </c>
    </row>
    <row r="20" spans="1:27" s="2" customFormat="1" ht="3" customHeight="1">
      <c r="A20" s="37"/>
      <c r="B20" s="35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147"/>
      <c r="S20" s="81"/>
      <c r="T20" s="140"/>
      <c r="U20" s="141"/>
      <c r="V20" s="147"/>
      <c r="W20" s="151"/>
      <c r="X20" s="125"/>
      <c r="Y20" s="126"/>
      <c r="AA20" s="25"/>
    </row>
    <row r="21" spans="4:27" ht="14.25">
      <c r="D21" s="39"/>
      <c r="E21" s="39"/>
      <c r="F21" s="3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148">
        <f>IF(ROUNDUP($B$30/INDEX(OUTPUT6,AA21,7),1)*1000&lt;=Data!$B$101,Data!$B$101,IF(ROUNDUP($B$30/INDEX(OUTPUT6,AA21,7),1)*1000&lt;=Data!$B$102,ROUNDUP($B$30/INDEX(OUTPUT6,AA21,7),1)*1000,""))</f>
        <v>1100</v>
      </c>
      <c r="S21" s="81">
        <f>IF(R21="","",ROUND((R21/1000)*INDEX(OUTPUT6,AA21,7),0))</f>
        <v>1065</v>
      </c>
      <c r="T21" s="140">
        <f>$T$5</f>
        <v>1200</v>
      </c>
      <c r="U21" s="141">
        <f>IF(T21="","",ROUND((T21/1000)*INDEX(OUTPUT6,AA21,7),0))</f>
        <v>1162</v>
      </c>
      <c r="V21" s="148">
        <f>IF(ROUNDUP($B$30/INDEX(OUTPUT5,AA21,7),1)*1000&lt;=Data!$B$101,Data!$B$101,IF(ROUNDUP($B$30/INDEX(OUTPUT5,AA21,7),1)*1000&lt;=Data!$B$102,ROUNDUP($B$30/INDEX(OUTPUT5,AA21,7),1)*1000,""))</f>
        <v>1200.0000000000002</v>
      </c>
      <c r="W21" s="151">
        <f>IF(V21="","",ROUND((V21/1000)*INDEX(OUTPUT5,AA21,7),0))</f>
        <v>1069</v>
      </c>
      <c r="X21" s="88">
        <f>$X$5</f>
        <v>1200</v>
      </c>
      <c r="Y21" s="141">
        <f>IF(X21="","",ROUND((X21/1000)*INDEX(OUTPUT5,AA21,7),0))</f>
        <v>1069</v>
      </c>
      <c r="AA21" s="15">
        <v>10</v>
      </c>
    </row>
    <row r="22" spans="1:27" s="2" customFormat="1" ht="3" customHeight="1">
      <c r="A22" s="37"/>
      <c r="B22" s="35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147"/>
      <c r="S22" s="81"/>
      <c r="T22" s="140"/>
      <c r="U22" s="141"/>
      <c r="V22" s="147"/>
      <c r="W22" s="151"/>
      <c r="X22" s="125"/>
      <c r="Y22" s="126"/>
      <c r="AA22" s="25"/>
    </row>
    <row r="23" spans="4:27" ht="15" customHeight="1">
      <c r="D23" s="39"/>
      <c r="E23" s="3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148">
        <f>IF(ROUNDUP($B$30/INDEX(OUTPUT6,AA23,7),1)*1000&lt;=Data!$B$101,Data!$B$101,IF(ROUNDUP($B$30/INDEX(OUTPUT6,AA23,7),1)*1000&lt;=Data!$B$102,ROUNDUP($B$30/INDEX(OUTPUT6,AA23,7),1)*1000,""))</f>
        <v>1000</v>
      </c>
      <c r="S23" s="81">
        <f>IF(R23="","",ROUND((R23/1000)*INDEX(OUTPUT6,AA23,7),0))</f>
        <v>1056</v>
      </c>
      <c r="T23" s="140">
        <f>$T$5</f>
        <v>1200</v>
      </c>
      <c r="U23" s="141">
        <f>IF(T23="","",ROUND((T23/1000)*INDEX(OUTPUT6,AA23,7),0))</f>
        <v>1267</v>
      </c>
      <c r="V23" s="148">
        <f>IF(ROUNDUP($B$30/INDEX(OUTPUT5,AA23,7),1)*1000&lt;=Data!$B$101,Data!$B$101,IF(ROUNDUP($B$30/INDEX(OUTPUT5,AA23,7),1)*1000&lt;=Data!$B$102,ROUNDUP($B$30/INDEX(OUTPUT5,AA23,7),1)*1000,""))</f>
        <v>1100</v>
      </c>
      <c r="W23" s="151">
        <f>IF(V23="","",ROUND((V23/1000)*INDEX(OUTPUT5,AA23,7),0))</f>
        <v>1069</v>
      </c>
      <c r="X23" s="88">
        <f>$X$5</f>
        <v>1200</v>
      </c>
      <c r="Y23" s="141">
        <f>IF(X23="","",ROUND((X23/1000)*INDEX(OUTPUT5,AA23,7),0))</f>
        <v>1166</v>
      </c>
      <c r="AA23" s="15">
        <v>11</v>
      </c>
    </row>
    <row r="24" spans="4:27" s="2" customFormat="1" ht="3" customHeight="1"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147"/>
      <c r="S24" s="81"/>
      <c r="T24" s="140"/>
      <c r="U24" s="141"/>
      <c r="V24" s="147"/>
      <c r="W24" s="151"/>
      <c r="X24" s="125"/>
      <c r="Y24" s="126"/>
      <c r="AA24" s="25"/>
    </row>
    <row r="25" spans="4:27" ht="14.25" customHeight="1">
      <c r="D25" s="3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48">
        <f>IF(ROUNDUP($B$30/INDEX(OUTPUT6,AA25,7),1)*1000&lt;=Data!$B$101,Data!$B$101,IF(ROUNDUP($B$30/INDEX(OUTPUT6,AA25,7),1)*1000&lt;=Data!$B$102,ROUNDUP($B$30/INDEX(OUTPUT6,AA25,7),1)*1000,""))</f>
        <v>900</v>
      </c>
      <c r="S25" s="81">
        <f>IF(R25="","",ROUND((R25/1000)*INDEX(OUTPUT6,AA25,7),0))</f>
        <v>1030</v>
      </c>
      <c r="T25" s="140">
        <f>$T$5</f>
        <v>1200</v>
      </c>
      <c r="U25" s="141">
        <f>IF(T25="","",ROUND((T25/1000)*INDEX(OUTPUT6,AA25,7),0))</f>
        <v>1373</v>
      </c>
      <c r="V25" s="148">
        <f>IF(ROUNDUP($B$30/INDEX(OUTPUT5,AA25,7),1)*1000&lt;=Data!$B$101,Data!$B$101,IF(ROUNDUP($B$30/INDEX(OUTPUT5,AA25,7),1)*1000&lt;=Data!$B$102,ROUNDUP($B$30/INDEX(OUTPUT5,AA25,7),1)*1000,""))</f>
        <v>1000</v>
      </c>
      <c r="W25" s="151">
        <f>IF(V25="","",ROUND((V25/1000)*INDEX(OUTPUT5,AA25,7),0))</f>
        <v>1052</v>
      </c>
      <c r="X25" s="88">
        <f>$X$5</f>
        <v>1200</v>
      </c>
      <c r="Y25" s="141">
        <f>IF(X25="","",ROUND((X25/1000)*INDEX(OUTPUT5,AA25,7),0))</f>
        <v>1262</v>
      </c>
      <c r="AA25" s="15">
        <v>12</v>
      </c>
    </row>
    <row r="26" spans="4:27" s="2" customFormat="1" ht="3" customHeight="1"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147"/>
      <c r="S26" s="81"/>
      <c r="T26" s="140"/>
      <c r="U26" s="141"/>
      <c r="V26" s="147"/>
      <c r="W26" s="151"/>
      <c r="X26" s="125"/>
      <c r="Y26" s="126"/>
      <c r="AA26" s="25"/>
    </row>
    <row r="27" spans="4:31" ht="15" thickBot="1"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149">
        <f>IF(ROUNDUP($B$30/INDEX(OUTPUT6,AA27,7),1)*1000&lt;=Data!$B$101,Data!$B$101,IF(ROUNDUP($B$30/INDEX(OUTPUT6,AA27,7),1)*1000&lt;=Data!$B$102,ROUNDUP($B$30/INDEX(OUTPUT6,AA27,7),1)*1000,""))</f>
        <v>900</v>
      </c>
      <c r="S27" s="83">
        <f>IF(R27="","",ROUND((R27/1000)*INDEX(OUTPUT6,AA27,7),0))</f>
        <v>1109</v>
      </c>
      <c r="T27" s="142">
        <f>$T$5</f>
        <v>1200</v>
      </c>
      <c r="U27" s="143">
        <f>IF(T27="","",ROUND((T27/1000)*INDEX(OUTPUT6,AA27,7),0))</f>
        <v>1478</v>
      </c>
      <c r="V27" s="149">
        <f>IF(ROUNDUP($B$30/INDEX(OUTPUT5,AA27,7),1)*1000&lt;=Data!$B$101,Data!$B$101,IF(ROUNDUP($B$30/INDEX(OUTPUT5,AA27,7),1)*1000&lt;=Data!$B$102,ROUNDUP($B$30/INDEX(OUTPUT5,AA27,7),1)*1000,""))</f>
        <v>900</v>
      </c>
      <c r="W27" s="152">
        <f>IF(V27="","",ROUND((V27/1000)*INDEX(OUTPUT5,AA27,7),0))</f>
        <v>1020</v>
      </c>
      <c r="X27" s="90">
        <f>$X$5</f>
        <v>1200</v>
      </c>
      <c r="Y27" s="143">
        <f>IF(X27="","",ROUND((X27/1000)*INDEX(OUTPUT5,AA27,7),0))</f>
        <v>1360</v>
      </c>
      <c r="Z27" s="15"/>
      <c r="AA27" s="15">
        <v>13</v>
      </c>
      <c r="AB27" s="15"/>
      <c r="AC27" s="15"/>
      <c r="AD27" s="15"/>
      <c r="AE27" s="15"/>
    </row>
    <row r="28" spans="1:31" s="2" customFormat="1" ht="3" customHeight="1" thickBot="1">
      <c r="A28" s="37"/>
      <c r="B28" s="3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46"/>
      <c r="S28" s="46"/>
      <c r="T28" s="46"/>
      <c r="U28" s="46"/>
      <c r="V28" s="46"/>
      <c r="W28" s="46"/>
      <c r="X28" s="25"/>
      <c r="Y28" s="25"/>
      <c r="Z28" s="25"/>
      <c r="AA28" s="25"/>
      <c r="AB28" s="25"/>
      <c r="AC28" s="25"/>
      <c r="AD28" s="25"/>
      <c r="AE28" s="25"/>
    </row>
    <row r="29" spans="4:31" ht="3" customHeight="1" thickBot="1">
      <c r="D29" s="6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14"/>
      <c r="Y29" s="57"/>
      <c r="Z29" s="15"/>
      <c r="AB29" s="15"/>
      <c r="AC29" s="15"/>
      <c r="AD29" s="15"/>
      <c r="AE29" s="15"/>
    </row>
    <row r="30" spans="1:31" ht="14.25">
      <c r="A30" s="210" t="str">
        <f>Data!I287&amp;" "&amp;Data!C287&amp;":"</f>
        <v>WÄHLEN SIE LEISTUNG, WATT:</v>
      </c>
      <c r="B30" s="195">
        <v>1000</v>
      </c>
      <c r="D30" s="4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60"/>
      <c r="R30" s="41" t="str">
        <f>Data!M287</f>
        <v>WASSERFÜHRENDEN ROHR</v>
      </c>
      <c r="S30" s="41"/>
      <c r="T30" s="41"/>
      <c r="U30" s="41"/>
      <c r="V30" s="41"/>
      <c r="W30" s="41"/>
      <c r="X30" s="15"/>
      <c r="Y30" s="55"/>
      <c r="Z30" s="15"/>
      <c r="AB30" s="15"/>
      <c r="AC30" s="15"/>
      <c r="AD30" s="15"/>
      <c r="AE30" s="15"/>
    </row>
    <row r="31" spans="1:27" s="2" customFormat="1" ht="3" customHeight="1">
      <c r="A31" s="210"/>
      <c r="B31" s="196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25"/>
      <c r="Y31" s="62"/>
      <c r="AA31" s="25"/>
    </row>
    <row r="32" spans="1:31" ht="15" thickBot="1">
      <c r="A32" s="210"/>
      <c r="B32" s="197"/>
      <c r="D32" s="44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 t="str">
        <f>Data!W287</f>
        <v>BITTE BEACHTEN SIE, DASS DIE LEISTUNG KALKULIERT WORDEN IST</v>
      </c>
      <c r="S32" s="41"/>
      <c r="T32" s="41"/>
      <c r="U32" s="41"/>
      <c r="V32" s="41"/>
      <c r="W32" s="41"/>
      <c r="X32" s="41"/>
      <c r="Y32" s="73"/>
      <c r="Z32" s="15"/>
      <c r="AB32" s="15"/>
      <c r="AC32" s="15"/>
      <c r="AD32" s="15"/>
      <c r="AE32" s="15"/>
    </row>
    <row r="33" spans="4:31" ht="3" customHeight="1" thickBot="1">
      <c r="D33" s="4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59"/>
      <c r="Z33" s="15"/>
      <c r="AB33" s="15"/>
      <c r="AC33" s="15"/>
      <c r="AD33" s="15"/>
      <c r="AE33" s="15"/>
    </row>
    <row r="34" spans="1:31" ht="15" customHeight="1">
      <c r="A34" s="194" t="str">
        <f>Data!$X$287&amp;" "&amp;Data!$F$287&amp;":"</f>
        <v>ODER BAULÄNGE MM:</v>
      </c>
      <c r="B34" s="191">
        <v>1200</v>
      </c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98" t="str">
        <f>Data!A86&amp;" &amp; "&amp;Data!V287&amp;": "&amp;Data!Y$287&amp;" "&amp;Data!$F$287&amp;": "&amp;Data!$B$101&amp;", "&amp;Data!$Z$287&amp;" "&amp;Data!$F$287&amp;": "&amp;Data!$B$102&amp;" - "&amp;Data!A69&amp;": "&amp;Data!Y$287&amp;" "&amp;Data!$F$287&amp;": "&amp;Data!$B$83&amp;", "&amp;Data!$Z$287&amp;" "&amp;Data!$F$287&amp;": "&amp;Data!$B$84&amp;". "&amp;Data!$AA$287</f>
        <v>SKYLINE &amp; PLINT: MIN. BAULÄNGE MM: 400, MAX. BAULÄNGE MM: 6000 - L-LINE: MIN. BAULÄNGE MM: 400, MAX. BAULÄNGE MM: 3000. BITTE KONTAKTIEREN SIE MEINERTZ FÜR SONDERGRÖSSEN ODER SONDERAUSFÜHRUNGEN.</v>
      </c>
      <c r="S34" s="198"/>
      <c r="T34" s="198"/>
      <c r="U34" s="198"/>
      <c r="V34" s="198"/>
      <c r="W34" s="198"/>
      <c r="X34" s="198"/>
      <c r="Y34" s="199"/>
      <c r="Z34" s="15"/>
      <c r="AB34" s="15"/>
      <c r="AC34" s="15"/>
      <c r="AD34" s="15"/>
      <c r="AE34" s="15"/>
    </row>
    <row r="35" spans="1:31" ht="3.75" customHeight="1">
      <c r="A35" s="194"/>
      <c r="B35" s="192"/>
      <c r="D35" s="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98"/>
      <c r="S35" s="198"/>
      <c r="T35" s="198"/>
      <c r="U35" s="198"/>
      <c r="V35" s="198"/>
      <c r="W35" s="198"/>
      <c r="X35" s="198"/>
      <c r="Y35" s="199"/>
      <c r="Z35" s="15"/>
      <c r="AB35" s="15"/>
      <c r="AC35" s="15"/>
      <c r="AD35" s="15"/>
      <c r="AE35" s="15"/>
    </row>
    <row r="36" spans="1:31" ht="15" customHeight="1" thickBot="1">
      <c r="A36" s="194"/>
      <c r="B36" s="193"/>
      <c r="D36" s="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98"/>
      <c r="S36" s="198"/>
      <c r="T36" s="198"/>
      <c r="U36" s="198"/>
      <c r="V36" s="198"/>
      <c r="W36" s="198"/>
      <c r="X36" s="198"/>
      <c r="Y36" s="199"/>
      <c r="Z36" s="15"/>
      <c r="AB36" s="15"/>
      <c r="AC36" s="15"/>
      <c r="AD36" s="15"/>
      <c r="AE36" s="15"/>
    </row>
    <row r="37" spans="4:25" ht="15.75" customHeight="1" thickBot="1">
      <c r="D37" s="1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00"/>
      <c r="S37" s="200"/>
      <c r="T37" s="200"/>
      <c r="U37" s="200"/>
      <c r="V37" s="200"/>
      <c r="W37" s="200"/>
      <c r="X37" s="200"/>
      <c r="Y37" s="201"/>
    </row>
  </sheetData>
  <sheetProtection password="CF4F" sheet="1" selectLockedCells="1"/>
  <mergeCells count="8">
    <mergeCell ref="A30:A32"/>
    <mergeCell ref="B30:B32"/>
    <mergeCell ref="B34:B36"/>
    <mergeCell ref="A34:A36"/>
    <mergeCell ref="R34:Y37"/>
    <mergeCell ref="R2:Y2"/>
    <mergeCell ref="R3:U3"/>
    <mergeCell ref="V3:Y3"/>
  </mergeCells>
  <conditionalFormatting sqref="B5 B7">
    <cfRule type="expression" priority="3" dxfId="0" stopIfTrue="1">
      <formula>$B$5&lt;$B$7+10</formula>
    </cfRule>
  </conditionalFormatting>
  <dataValidations count="3">
    <dataValidation type="list" allowBlank="1" showInputMessage="1" showErrorMessage="1" sqref="B7">
      <formula1>TEMPSETFINNED2</formula1>
    </dataValidation>
    <dataValidation type="list" allowBlank="1" showInputMessage="1" showErrorMessage="1" sqref="B5">
      <formula1>TEMPSETFINNED1</formula1>
    </dataValidation>
    <dataValidation type="list" allowBlank="1" showInputMessage="1" showErrorMessage="1" sqref="B9">
      <formula1>TEMPSETFINNED3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showGridLines="0" zoomScalePageLayoutView="0" workbookViewId="0" topLeftCell="A1">
      <selection activeCell="B20" sqref="B20:B22"/>
    </sheetView>
  </sheetViews>
  <sheetFormatPr defaultColWidth="9.140625" defaultRowHeight="15"/>
  <cols>
    <col min="1" max="1" width="24.28125" style="1" customWidth="1"/>
    <col min="2" max="2" width="9.28125" style="1" customWidth="1"/>
    <col min="3" max="3" width="2.8515625" style="1" customWidth="1"/>
    <col min="4" max="4" width="20.8515625" style="1" customWidth="1"/>
    <col min="5" max="5" width="18.57421875" style="1" customWidth="1"/>
    <col min="6" max="6" width="9.28125" style="1" customWidth="1"/>
    <col min="7" max="7" width="18.57421875" style="1" customWidth="1"/>
    <col min="8" max="8" width="9.28125" style="1" customWidth="1"/>
    <col min="9" max="16384" width="9.140625" style="1" customWidth="1"/>
  </cols>
  <sheetData>
    <row r="1" ht="15" thickBot="1"/>
    <row r="2" spans="4:8" ht="26.25" thickBot="1">
      <c r="D2" s="188" t="str">
        <f>Data!D287&amp;":"</f>
        <v>OPTIONEN:</v>
      </c>
      <c r="E2" s="189"/>
      <c r="F2" s="189"/>
      <c r="G2" s="189"/>
      <c r="H2" s="190"/>
    </row>
    <row r="3" spans="3:8" ht="15" customHeight="1" thickBot="1">
      <c r="C3" s="2"/>
      <c r="D3" s="116" t="str">
        <f>Data!U287&amp;Data!G287</f>
        <v>RIPPENROHR TYP</v>
      </c>
      <c r="E3" s="117" t="str">
        <f>Data!$F$287</f>
        <v>BAULÄNGE MM</v>
      </c>
      <c r="F3" s="118" t="str">
        <f>Data!$H$287</f>
        <v>WATT</v>
      </c>
      <c r="G3" s="130" t="str">
        <f>Data!$F$287</f>
        <v>BAULÄNGE MM</v>
      </c>
      <c r="H3" s="131" t="str">
        <f>Data!$H$287</f>
        <v>WATT</v>
      </c>
    </row>
    <row r="4" spans="1:8" ht="15" customHeight="1" thickBot="1">
      <c r="A4" s="1" t="str">
        <f>Data!J287&amp;":"</f>
        <v>VORLAUF:</v>
      </c>
      <c r="B4" s="77">
        <v>75</v>
      </c>
      <c r="C4" s="3"/>
      <c r="D4" s="119" t="s">
        <v>144</v>
      </c>
      <c r="E4" s="120">
        <f>IF(ROUNDUP($B$20/VLOOKUP($B$4&amp;$B$8&amp;$D4,OUTPUT7,($B$6/5)-4,FALSE),1)*1000&lt;=Data!$B$282,Data!$B$282,IF(ROUNDUP($B$20/VLOOKUP($B$4&amp;$B$8&amp;$D4,OUTPUT7,($B$6/5)-4,FALSE),1)*1000&lt;=Data!$B$283,ROUNDUP($B$20/VLOOKUP($B$4&amp;$B$8&amp;$D4,OUTPUT7,($B$6/5)-4,FALSE),1)*1000,""))</f>
        <v>3800.0000000000005</v>
      </c>
      <c r="F4" s="120">
        <f>IF(E4="","",ROUND(E4*VLOOKUP($B$4&amp;$B$8&amp;$D4,OUTPUT7,($B$6/5)-4,FALSE)/1000,0))</f>
        <v>1007</v>
      </c>
      <c r="G4" s="134">
        <f>IF(AND($B$24&gt;=Data!$B$282,$B$24&lt;=Data!$B$283),$B$24,"")</f>
      </c>
      <c r="H4" s="87">
        <f>IF(G4="","",ROUND($G$4*VLOOKUP($B$4&amp;$B$8&amp;$D4,OUTPUT7,($B$6/5)-4,FALSE)/1000,0))</f>
      </c>
    </row>
    <row r="5" spans="2:8" ht="3" customHeight="1" thickBot="1">
      <c r="B5" s="3"/>
      <c r="C5" s="3"/>
      <c r="D5" s="121"/>
      <c r="E5" s="98"/>
      <c r="F5" s="98"/>
      <c r="G5" s="88"/>
      <c r="H5" s="126"/>
    </row>
    <row r="6" spans="1:8" ht="15" customHeight="1" thickBot="1">
      <c r="A6" s="1" t="str">
        <f>Data!K287&amp;":"</f>
        <v>RÜCKLAUF:</v>
      </c>
      <c r="B6" s="77">
        <v>65</v>
      </c>
      <c r="C6" s="3"/>
      <c r="D6" s="122" t="s">
        <v>145</v>
      </c>
      <c r="E6" s="98">
        <f>IF(ROUNDUP($B$20/VLOOKUP($B$4&amp;$B$8&amp;$D6,OUTPUT7,($B$6/5)-4,FALSE),1)*1000&lt;=Data!$B$282,Data!$B$282,IF(ROUNDUP($B$20/VLOOKUP($B$4&amp;$B$8&amp;$D6,OUTPUT7,($B$6/5)-4,FALSE),1)*1000&lt;=Data!$B$283,ROUNDUP($B$20/VLOOKUP($B$4&amp;$B$8&amp;$D6,OUTPUT7,($B$6/5)-4,FALSE),1)*1000,""))</f>
        <v>3400</v>
      </c>
      <c r="F6" s="98">
        <f>IF(E6="","",ROUND(E6*VLOOKUP($B$4&amp;$B$8&amp;$D6,OUTPUT7,($B$6/5)-4,FALSE)/1000,0))</f>
        <v>1003</v>
      </c>
      <c r="G6" s="135">
        <f>$G$4</f>
      </c>
      <c r="H6" s="89">
        <f>IF(G6="","",ROUND($G$4*VLOOKUP($B$4&amp;$B$8&amp;$D6,OUTPUT7,($B$6/5)-4,FALSE)/1000,0))</f>
      </c>
    </row>
    <row r="7" spans="3:8" ht="3" customHeight="1" thickBot="1">
      <c r="C7" s="2"/>
      <c r="D7" s="121"/>
      <c r="E7" s="98"/>
      <c r="F7" s="98"/>
      <c r="G7" s="88"/>
      <c r="H7" s="126"/>
    </row>
    <row r="8" spans="1:8" ht="15" customHeight="1" thickBot="1">
      <c r="A8" s="1" t="str">
        <f>Data!L287&amp;":"</f>
        <v>ZIMMER:</v>
      </c>
      <c r="B8" s="77">
        <v>20</v>
      </c>
      <c r="C8" s="3"/>
      <c r="D8" s="122" t="s">
        <v>146</v>
      </c>
      <c r="E8" s="98">
        <f>IF(ROUNDUP($B$20/VLOOKUP($B$4&amp;$B$8&amp;$D8,OUTPUT7,($B$6/5)-4,FALSE),1)*1000&lt;=Data!$B$282,Data!$B$282,IF(ROUNDUP($B$20/VLOOKUP($B$4&amp;$B$8&amp;$D8,OUTPUT7,($B$6/5)-4,FALSE),1)*1000&lt;=Data!$B$283,ROUNDUP($B$20/VLOOKUP($B$4&amp;$B$8&amp;$D8,OUTPUT7,($B$6/5)-4,FALSE),1)*1000,""))</f>
        <v>3200</v>
      </c>
      <c r="F8" s="98">
        <f>IF(E8="","",ROUND(E8*VLOOKUP($B$4&amp;$B$8&amp;$D8,OUTPUT7,($B$6/5)-4,FALSE)/1000,0))</f>
        <v>1021</v>
      </c>
      <c r="G8" s="135">
        <f>$G$4</f>
      </c>
      <c r="H8" s="89">
        <f>IF(G8="","",ROUND($G$4*VLOOKUP($B$4&amp;$B$8&amp;$D8,OUTPUT7,($B$6/5)-4,FALSE)/1000,0))</f>
      </c>
    </row>
    <row r="9" spans="2:8" ht="3" customHeight="1">
      <c r="B9" s="7"/>
      <c r="C9" s="8"/>
      <c r="D9" s="121"/>
      <c r="E9" s="98"/>
      <c r="F9" s="98"/>
      <c r="G9" s="88"/>
      <c r="H9" s="126"/>
    </row>
    <row r="10" spans="2:8" ht="15" customHeight="1">
      <c r="B10" s="7"/>
      <c r="C10" s="8"/>
      <c r="D10" s="122" t="s">
        <v>147</v>
      </c>
      <c r="E10" s="98">
        <f>IF(ROUNDUP($B$20/VLOOKUP($B$4&amp;$B$8&amp;$D10,OUTPUT7,($B$6/5)-4,FALSE),1)*1000&lt;=Data!$B$282,Data!$B$282,IF(ROUNDUP($B$20/VLOOKUP($B$4&amp;$B$8&amp;$D10,OUTPUT7,($B$6/5)-4,FALSE),1)*1000&lt;=Data!$B$283,ROUNDUP($B$20/VLOOKUP($B$4&amp;$B$8&amp;$D10,OUTPUT7,($B$6/5)-4,FALSE),1)*1000,""))</f>
        <v>2800.0000000000005</v>
      </c>
      <c r="F10" s="98">
        <f>IF(E10="","",ROUND(E10*VLOOKUP($B$4&amp;$B$8&amp;$D10,OUTPUT7,($B$6/5)-4,FALSE)/1000,0))</f>
        <v>1005</v>
      </c>
      <c r="G10" s="135">
        <f>$G$4</f>
      </c>
      <c r="H10" s="89">
        <f>IF(G10="","",ROUND($G$4*VLOOKUP($B$4&amp;$B$8&amp;$D10,OUTPUT7,($B$6/5)-4,FALSE)/1000,0))</f>
      </c>
    </row>
    <row r="11" spans="4:8" ht="3" customHeight="1">
      <c r="D11" s="121"/>
      <c r="E11" s="98"/>
      <c r="F11" s="98"/>
      <c r="G11" s="88"/>
      <c r="H11" s="126"/>
    </row>
    <row r="12" spans="4:8" ht="14.25">
      <c r="D12" s="122" t="s">
        <v>148</v>
      </c>
      <c r="E12" s="98">
        <f>IF(ROUNDUP($B$20/VLOOKUP($B$4&amp;$B$8&amp;$D12,OUTPUT7,($B$6/5)-4,FALSE),1)*1000&lt;=Data!$B$282,Data!$B$282,IF(ROUNDUP($B$20/VLOOKUP($B$4&amp;$B$8&amp;$D12,OUTPUT7,($B$6/5)-4,FALSE),1)*1000&lt;=Data!$B$283,ROUNDUP($B$20/VLOOKUP($B$4&amp;$B$8&amp;$D12,OUTPUT7,($B$6/5)-4,FALSE),1)*1000,""))</f>
        <v>2800.0000000000005</v>
      </c>
      <c r="F12" s="98">
        <f>IF(E12="","",ROUND(E12*VLOOKUP($B$4&amp;$B$8&amp;$D12,OUTPUT7,($B$6/5)-4,FALSE)/1000,0))</f>
        <v>1016</v>
      </c>
      <c r="G12" s="135">
        <f>$G$4</f>
      </c>
      <c r="H12" s="89">
        <f>IF(G12="","",ROUND($G$4*VLOOKUP($B$4&amp;$B$8&amp;$D12,OUTPUT7,($B$6/5)-4,FALSE)/1000,0))</f>
      </c>
    </row>
    <row r="13" spans="4:8" ht="3" customHeight="1">
      <c r="D13" s="121"/>
      <c r="E13" s="98"/>
      <c r="F13" s="98"/>
      <c r="G13" s="88"/>
      <c r="H13" s="126"/>
    </row>
    <row r="14" spans="4:8" ht="14.25">
      <c r="D14" s="122" t="s">
        <v>149</v>
      </c>
      <c r="E14" s="98">
        <f>IF(ROUNDUP($B$20/VLOOKUP($B$4&amp;$B$8&amp;$D14,OUTPUT7,($B$6/5)-4,FALSE),1)*1000&lt;=Data!$B$282,Data!$B$282,IF(ROUNDUP($B$20/VLOOKUP($B$4&amp;$B$8&amp;$D14,OUTPUT7,($B$6/5)-4,FALSE),1)*1000&lt;=Data!$B$283,ROUNDUP($B$20/VLOOKUP($B$4&amp;$B$8&amp;$D14,OUTPUT7,($B$6/5)-4,FALSE),1)*1000,""))</f>
        <v>2500</v>
      </c>
      <c r="F14" s="98">
        <f>IF(E14="","",ROUND(E14*VLOOKUP($B$4&amp;$B$8&amp;$D14,OUTPUT7,($B$6/5)-4,FALSE)/1000,0))</f>
        <v>1035</v>
      </c>
      <c r="G14" s="135">
        <f>$G$4</f>
      </c>
      <c r="H14" s="89">
        <f>IF(G14="","",ROUND($G$4*VLOOKUP($B$4&amp;$B$8&amp;$D14,OUTPUT7,($B$6/5)-4,FALSE)/1000,0))</f>
      </c>
    </row>
    <row r="15" spans="4:8" ht="3" customHeight="1">
      <c r="D15" s="121"/>
      <c r="E15" s="98"/>
      <c r="F15" s="98"/>
      <c r="G15" s="88"/>
      <c r="H15" s="126"/>
    </row>
    <row r="16" spans="4:8" ht="14.25">
      <c r="D16" s="122" t="s">
        <v>150</v>
      </c>
      <c r="E16" s="98">
        <f>IF(ROUNDUP($B$20/VLOOKUP($B$4&amp;$B$8&amp;$D16,OUTPUT7,($B$6/5)-4,FALSE),1)*1000&lt;=Data!$B$282,Data!$B$282,IF(ROUNDUP($B$20/VLOOKUP($B$4&amp;$B$8&amp;$D16,OUTPUT7,($B$6/5)-4,FALSE),1)*1000&lt;=Data!$B$283,ROUNDUP($B$20/VLOOKUP($B$4&amp;$B$8&amp;$D16,OUTPUT7,($B$6/5)-4,FALSE),1)*1000,""))</f>
        <v>2200</v>
      </c>
      <c r="F16" s="98">
        <f>IF(E16="","",ROUND(E16*VLOOKUP($B$4&amp;$B$8&amp;$D16,OUTPUT7,($B$6/5)-4,FALSE)/1000,0))</f>
        <v>1038</v>
      </c>
      <c r="G16" s="135">
        <f>$G$4</f>
      </c>
      <c r="H16" s="89">
        <f>IF(G16="","",ROUND($G$4*VLOOKUP($B$4&amp;$B$8&amp;$D16,OUTPUT7,($B$6/5)-4,FALSE)/1000,0))</f>
      </c>
    </row>
    <row r="17" spans="4:8" ht="3" customHeight="1">
      <c r="D17" s="121"/>
      <c r="E17" s="98"/>
      <c r="F17" s="98"/>
      <c r="G17" s="88"/>
      <c r="H17" s="126"/>
    </row>
    <row r="18" spans="4:8" ht="15" customHeight="1" thickBot="1">
      <c r="D18" s="123" t="s">
        <v>151</v>
      </c>
      <c r="E18" s="106">
        <f>IF(ROUNDUP($B$20/VLOOKUP($B$4&amp;$B$8&amp;$D18,OUTPUT7,($B$6/5)-4,FALSE),1)*1000&lt;=Data!$B$282,Data!$B$282,IF(ROUNDUP($B$20/VLOOKUP($B$4&amp;$B$8&amp;$D18,OUTPUT7,($B$6/5)-4,FALSE),1)*1000&lt;=Data!$B$283,ROUNDUP($B$20/VLOOKUP($B$4&amp;$B$8&amp;$D18,OUTPUT7,($B$6/5)-4,FALSE),1)*1000,""))</f>
        <v>1800</v>
      </c>
      <c r="F18" s="106">
        <f>IF(E18="","",ROUND(E18*VLOOKUP($B$4&amp;$B$8&amp;$D18,OUTPUT7,($B$6/5)-4,FALSE)/1000,0))</f>
        <v>1010</v>
      </c>
      <c r="G18" s="136">
        <f>$G$4</f>
      </c>
      <c r="H18" s="91">
        <f>IF(G18="","",ROUND($G$4*VLOOKUP($B$4&amp;$B$8&amp;$D18,OUTPUT7,($B$6/5)-4,FALSE)/1000,0))</f>
      </c>
    </row>
    <row r="19" ht="3" customHeight="1" thickBot="1"/>
    <row r="20" spans="1:8" ht="14.25">
      <c r="A20" s="216" t="str">
        <f>Data!I287&amp;" "&amp;Data!C287&amp;":"</f>
        <v>WÄHLEN SIE LEISTUNG, WATT:</v>
      </c>
      <c r="B20" s="195">
        <v>1000</v>
      </c>
      <c r="D20" s="217" t="str">
        <f>Data!Y$287&amp;" "&amp;Data!$F$287&amp;": "&amp;Data!$B$282&amp;", "&amp;Data!$Z$287&amp;" "&amp;Data!$F$287&amp;": "&amp;Data!$B$283&amp;". "&amp;Data!$AA$287</f>
        <v>MIN. BAULÄNGE MM: 400, MAX. BAULÄNGE MM: 6000. BITTE KONTAKTIEREN SIE MEINERTZ FÜR SONDERGRÖSSEN ODER SONDERAUSFÜHRUNGEN.</v>
      </c>
      <c r="E20" s="218"/>
      <c r="F20" s="218"/>
      <c r="G20" s="218"/>
      <c r="H20" s="219"/>
    </row>
    <row r="21" spans="1:8" ht="3" customHeight="1">
      <c r="A21" s="216"/>
      <c r="B21" s="196"/>
      <c r="D21" s="202"/>
      <c r="E21" s="198"/>
      <c r="F21" s="198"/>
      <c r="G21" s="198"/>
      <c r="H21" s="199"/>
    </row>
    <row r="22" spans="1:8" ht="15" thickBot="1">
      <c r="A22" s="216"/>
      <c r="B22" s="197"/>
      <c r="D22" s="202"/>
      <c r="E22" s="198"/>
      <c r="F22" s="198"/>
      <c r="G22" s="198"/>
      <c r="H22" s="199"/>
    </row>
    <row r="23" spans="4:8" ht="3" customHeight="1" thickBot="1">
      <c r="D23" s="75"/>
      <c r="E23" s="74"/>
      <c r="F23" s="74"/>
      <c r="G23" s="74"/>
      <c r="H23" s="76"/>
    </row>
    <row r="24" spans="1:8" ht="14.25">
      <c r="A24" s="194" t="str">
        <f>Data!$X$287&amp;" "&amp;Data!$F$287&amp;":"</f>
        <v>ODER BAULÄNGE MM:</v>
      </c>
      <c r="B24" s="191">
        <v>12000</v>
      </c>
      <c r="D24" s="6"/>
      <c r="E24" s="15"/>
      <c r="F24" s="15"/>
      <c r="G24" s="15"/>
      <c r="H24" s="55"/>
    </row>
    <row r="25" spans="1:8" ht="2.25" customHeight="1">
      <c r="A25" s="194"/>
      <c r="B25" s="192"/>
      <c r="D25" s="6"/>
      <c r="E25" s="15"/>
      <c r="F25" s="15"/>
      <c r="G25" s="15"/>
      <c r="H25" s="55"/>
    </row>
    <row r="26" spans="1:8" ht="15.75" customHeight="1" thickBot="1">
      <c r="A26" s="194"/>
      <c r="B26" s="193"/>
      <c r="D26" s="13"/>
      <c r="E26" s="17"/>
      <c r="F26" s="17"/>
      <c r="G26" s="17"/>
      <c r="H26" s="18"/>
    </row>
  </sheetData>
  <sheetProtection password="CF4F" sheet="1" selectLockedCells="1"/>
  <mergeCells count="6">
    <mergeCell ref="B24:B26"/>
    <mergeCell ref="A24:A26"/>
    <mergeCell ref="A20:A22"/>
    <mergeCell ref="B20:B22"/>
    <mergeCell ref="D2:H2"/>
    <mergeCell ref="D20:H22"/>
  </mergeCells>
  <conditionalFormatting sqref="B4 B6 B8">
    <cfRule type="expression" priority="2" dxfId="0" stopIfTrue="1">
      <formula>$B$4&lt;$B$6+10</formula>
    </cfRule>
  </conditionalFormatting>
  <dataValidations count="3">
    <dataValidation type="list" allowBlank="1" showInputMessage="1" showErrorMessage="1" sqref="B8">
      <formula1>TEMPSETFINNED3</formula1>
    </dataValidation>
    <dataValidation type="list" allowBlank="1" showInputMessage="1" showErrorMessage="1" sqref="B4">
      <formula1>TEMPSETFINNED1</formula1>
    </dataValidation>
    <dataValidation type="list" allowBlank="1" showInputMessage="1" showErrorMessage="1" sqref="B6">
      <formula1>TEMPSETFINNED2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2"/>
  <sheetViews>
    <sheetView showGridLines="0" showRowColHeaders="0" zoomScalePageLayoutView="0" workbookViewId="0" topLeftCell="A1">
      <selection activeCell="C2" sqref="C2"/>
    </sheetView>
  </sheetViews>
  <sheetFormatPr defaultColWidth="9.140625" defaultRowHeight="15"/>
  <cols>
    <col min="1" max="1" width="1.421875" style="0" customWidth="1"/>
    <col min="2" max="2" width="24.8515625" style="0" customWidth="1"/>
    <col min="3" max="3" width="10.421875" style="0" customWidth="1"/>
  </cols>
  <sheetData>
    <row r="1" ht="7.5" customHeight="1" thickBot="1"/>
    <row r="2" spans="2:3" ht="15.75" thickBot="1">
      <c r="B2" s="9" t="str">
        <f>Data!$I$287&amp;" "&amp;Data!B287&amp;":"</f>
        <v>WÄHLEN SIE SPRACHE:</v>
      </c>
      <c r="C2" s="31" t="s">
        <v>32</v>
      </c>
    </row>
  </sheetData>
  <sheetProtection password="CF4F" sheet="1" objects="1" scenarios="1" selectLockedCells="1"/>
  <dataValidations count="1">
    <dataValidation type="list" allowBlank="1" showInputMessage="1" showErrorMessage="1" sqref="C2">
      <formula1>Language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Wendt</dc:creator>
  <cp:keywords/>
  <dc:description/>
  <cp:lastModifiedBy>Jürg Schlegel</cp:lastModifiedBy>
  <dcterms:created xsi:type="dcterms:W3CDTF">2011-05-10T14:26:37Z</dcterms:created>
  <dcterms:modified xsi:type="dcterms:W3CDTF">2011-10-19T06:40:36Z</dcterms:modified>
  <cp:category/>
  <cp:version/>
  <cp:contentType/>
  <cp:contentStatus/>
</cp:coreProperties>
</file>